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 tabRatio="350"/>
  </bookViews>
  <sheets>
    <sheet name="REKAP" sheetId="3" r:id="rId1"/>
    <sheet name="MASTER" sheetId="1" r:id="rId2"/>
    <sheet name="MASTER OPD" sheetId="4" r:id="rId3"/>
  </sheets>
  <definedNames>
    <definedName name="_xlnm.Print_Area" localSheetId="1">MASTER!$A$1:$N$182</definedName>
    <definedName name="_xlnm.Print_Area" localSheetId="2">'MASTER OPD'!$A$1:$T$31</definedName>
    <definedName name="_xlnm.Print_Area" localSheetId="0">REKAP!$A$1:$N$37</definedName>
    <definedName name="_xlnm.Print_Titles" localSheetId="1">MASTER!$5:$6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4" l="1"/>
  <c r="K9" i="4" l="1"/>
  <c r="G35" i="3" l="1"/>
  <c r="G34" i="3"/>
  <c r="G33" i="3"/>
  <c r="F35" i="3"/>
  <c r="E35" i="3"/>
  <c r="D35" i="3"/>
  <c r="D34" i="3"/>
  <c r="F34" i="3"/>
  <c r="E34" i="3"/>
  <c r="D33" i="3"/>
  <c r="F33" i="3"/>
  <c r="E33" i="3"/>
  <c r="G36" i="3" l="1"/>
  <c r="F36" i="3"/>
  <c r="G26" i="3"/>
  <c r="G27" i="3" s="1"/>
  <c r="F26" i="3"/>
  <c r="L182" i="1"/>
  <c r="F182" i="1"/>
  <c r="D36" i="3" l="1"/>
  <c r="G29" i="4"/>
  <c r="O29" i="4" s="1"/>
  <c r="H29" i="4"/>
  <c r="I29" i="4"/>
  <c r="J29" i="4"/>
  <c r="K29" i="4"/>
  <c r="M29" i="4"/>
  <c r="L29" i="4"/>
  <c r="P29" i="4" l="1"/>
  <c r="Q29" i="4"/>
  <c r="T29" i="4"/>
  <c r="S29" i="4"/>
  <c r="R29" i="4"/>
  <c r="F25" i="4"/>
  <c r="F24" i="4"/>
  <c r="E25" i="4"/>
  <c r="E24" i="4"/>
  <c r="G25" i="4"/>
  <c r="G24" i="4"/>
  <c r="H25" i="4"/>
  <c r="H24" i="4"/>
  <c r="I25" i="4"/>
  <c r="I24" i="4"/>
  <c r="J25" i="4"/>
  <c r="J24" i="4"/>
  <c r="K25" i="4"/>
  <c r="K24" i="4"/>
  <c r="L25" i="4"/>
  <c r="L24" i="4"/>
  <c r="N25" i="4"/>
  <c r="N24" i="4"/>
  <c r="E36" i="3" l="1"/>
  <c r="R24" i="4"/>
  <c r="R25" i="4"/>
  <c r="Q24" i="4"/>
  <c r="Q25" i="4"/>
  <c r="F25" i="3"/>
  <c r="F24" i="3"/>
  <c r="D26" i="3"/>
  <c r="D25" i="3"/>
  <c r="D24" i="3"/>
  <c r="N28" i="4" l="1"/>
  <c r="L28" i="4"/>
  <c r="J28" i="4"/>
  <c r="N27" i="4"/>
  <c r="L27" i="4"/>
  <c r="J27" i="4"/>
  <c r="N26" i="4"/>
  <c r="J26" i="4"/>
  <c r="N23" i="4"/>
  <c r="L23" i="4"/>
  <c r="J23" i="4"/>
  <c r="N22" i="4"/>
  <c r="L22" i="4"/>
  <c r="J22" i="4"/>
  <c r="N21" i="4"/>
  <c r="L21" i="4"/>
  <c r="J21" i="4"/>
  <c r="N20" i="4"/>
  <c r="L20" i="4"/>
  <c r="J20" i="4"/>
  <c r="N19" i="4"/>
  <c r="L19" i="4"/>
  <c r="J19" i="4"/>
  <c r="N18" i="4"/>
  <c r="L18" i="4"/>
  <c r="J18" i="4"/>
  <c r="N17" i="4"/>
  <c r="L17" i="4"/>
  <c r="J17" i="4"/>
  <c r="N16" i="4"/>
  <c r="L16" i="4"/>
  <c r="J16" i="4"/>
  <c r="N15" i="4"/>
  <c r="L15" i="4"/>
  <c r="J15" i="4"/>
  <c r="N14" i="4"/>
  <c r="L14" i="4"/>
  <c r="J14" i="4"/>
  <c r="N13" i="4"/>
  <c r="L13" i="4"/>
  <c r="J13" i="4"/>
  <c r="N12" i="4"/>
  <c r="L12" i="4"/>
  <c r="J12" i="4"/>
  <c r="N11" i="4"/>
  <c r="L11" i="4"/>
  <c r="J11" i="4"/>
  <c r="N10" i="4"/>
  <c r="L10" i="4"/>
  <c r="J10" i="4"/>
  <c r="J9" i="4"/>
  <c r="N9" i="4"/>
  <c r="L9" i="4"/>
  <c r="L26" i="4"/>
  <c r="D9" i="4"/>
  <c r="M26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I17" i="4"/>
  <c r="I13" i="4"/>
  <c r="I28" i="4"/>
  <c r="M28" i="4"/>
  <c r="K28" i="4"/>
  <c r="M27" i="4"/>
  <c r="K27" i="4"/>
  <c r="I27" i="4"/>
  <c r="I26" i="4"/>
  <c r="I23" i="4"/>
  <c r="I22" i="4"/>
  <c r="I21" i="4"/>
  <c r="I20" i="4"/>
  <c r="I19" i="4"/>
  <c r="I18" i="4"/>
  <c r="I16" i="4"/>
  <c r="I15" i="4"/>
  <c r="I14" i="4"/>
  <c r="I12" i="4"/>
  <c r="I11" i="4"/>
  <c r="I10" i="4"/>
  <c r="M9" i="4"/>
  <c r="K26" i="4"/>
  <c r="I9" i="4"/>
  <c r="G9" i="4"/>
  <c r="H28" i="4"/>
  <c r="F28" i="4"/>
  <c r="D28" i="4"/>
  <c r="H27" i="4"/>
  <c r="F27" i="4"/>
  <c r="D27" i="4"/>
  <c r="H26" i="4"/>
  <c r="F26" i="4"/>
  <c r="D26" i="4"/>
  <c r="H23" i="4"/>
  <c r="F23" i="4"/>
  <c r="D23" i="4"/>
  <c r="H22" i="4"/>
  <c r="F22" i="4"/>
  <c r="D22" i="4"/>
  <c r="H21" i="4"/>
  <c r="F21" i="4"/>
  <c r="D21" i="4"/>
  <c r="H20" i="4"/>
  <c r="F20" i="4"/>
  <c r="D20" i="4"/>
  <c r="D19" i="4"/>
  <c r="H19" i="4"/>
  <c r="F19" i="4"/>
  <c r="D18" i="4"/>
  <c r="H18" i="4"/>
  <c r="F18" i="4"/>
  <c r="D17" i="4"/>
  <c r="H17" i="4"/>
  <c r="F17" i="4"/>
  <c r="D16" i="4"/>
  <c r="H16" i="4"/>
  <c r="F16" i="4"/>
  <c r="D15" i="4"/>
  <c r="H15" i="4"/>
  <c r="F15" i="4"/>
  <c r="D14" i="4"/>
  <c r="F14" i="4"/>
  <c r="H14" i="4"/>
  <c r="D13" i="4"/>
  <c r="F13" i="4"/>
  <c r="H13" i="4"/>
  <c r="D12" i="4"/>
  <c r="F12" i="4"/>
  <c r="H12" i="4"/>
  <c r="E11" i="4"/>
  <c r="C11" i="4"/>
  <c r="H11" i="4"/>
  <c r="F11" i="4"/>
  <c r="D11" i="4"/>
  <c r="D10" i="4"/>
  <c r="F10" i="4"/>
  <c r="H9" i="4"/>
  <c r="F9" i="4"/>
  <c r="F5" i="3"/>
  <c r="G28" i="4"/>
  <c r="E28" i="4"/>
  <c r="C28" i="4"/>
  <c r="G27" i="4"/>
  <c r="E27" i="4"/>
  <c r="C27" i="4"/>
  <c r="G26" i="4"/>
  <c r="E26" i="4"/>
  <c r="C26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C14" i="4"/>
  <c r="G14" i="4"/>
  <c r="E14" i="4"/>
  <c r="C13" i="4"/>
  <c r="G13" i="4"/>
  <c r="E13" i="4"/>
  <c r="C12" i="4"/>
  <c r="G12" i="4"/>
  <c r="E12" i="4"/>
  <c r="G11" i="4"/>
  <c r="G10" i="4"/>
  <c r="E10" i="4"/>
  <c r="C10" i="4"/>
  <c r="E9" i="4"/>
  <c r="C9" i="4"/>
  <c r="D5" i="3"/>
  <c r="Q23" i="4" l="1"/>
  <c r="C30" i="4"/>
  <c r="Q19" i="4"/>
  <c r="Q13" i="4"/>
  <c r="Q20" i="4"/>
  <c r="P23" i="4"/>
  <c r="Q14" i="4"/>
  <c r="Q10" i="4"/>
  <c r="P13" i="4"/>
  <c r="P17" i="4"/>
  <c r="P22" i="4"/>
  <c r="P28" i="4"/>
  <c r="P12" i="4"/>
  <c r="P16" i="4"/>
  <c r="P14" i="4"/>
  <c r="P18" i="4"/>
  <c r="P20" i="4"/>
  <c r="P26" i="4"/>
  <c r="Q26" i="4"/>
  <c r="Q12" i="4"/>
  <c r="Q18" i="4"/>
  <c r="Q22" i="4"/>
  <c r="Q28" i="4"/>
  <c r="P9" i="4"/>
  <c r="P11" i="4"/>
  <c r="P15" i="4"/>
  <c r="P19" i="4"/>
  <c r="P21" i="4"/>
  <c r="P27" i="4"/>
  <c r="Q16" i="4"/>
  <c r="R28" i="4"/>
  <c r="R27" i="4"/>
  <c r="R26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N30" i="4"/>
  <c r="R10" i="4"/>
  <c r="R9" i="4"/>
  <c r="J30" i="4"/>
  <c r="L30" i="4"/>
  <c r="Q9" i="4"/>
  <c r="Q15" i="4"/>
  <c r="Q17" i="4"/>
  <c r="O12" i="4"/>
  <c r="O14" i="4"/>
  <c r="O16" i="4"/>
  <c r="O20" i="4"/>
  <c r="O26" i="4"/>
  <c r="Q11" i="4"/>
  <c r="Q21" i="4"/>
  <c r="Q27" i="4"/>
  <c r="O10" i="4"/>
  <c r="O15" i="4"/>
  <c r="O19" i="4"/>
  <c r="O23" i="4"/>
  <c r="O9" i="4"/>
  <c r="O18" i="4"/>
  <c r="O22" i="4"/>
  <c r="O28" i="4"/>
  <c r="O11" i="4"/>
  <c r="O13" i="4"/>
  <c r="O17" i="4"/>
  <c r="O21" i="4"/>
  <c r="O27" i="4"/>
  <c r="T11" i="4"/>
  <c r="F30" i="4"/>
  <c r="E30" i="4"/>
  <c r="G30" i="4"/>
  <c r="D30" i="4"/>
  <c r="T9" i="4"/>
  <c r="S19" i="4"/>
  <c r="M30" i="4"/>
  <c r="K30" i="4"/>
  <c r="S28" i="4"/>
  <c r="S27" i="4"/>
  <c r="I30" i="4"/>
  <c r="S26" i="4"/>
  <c r="S23" i="4"/>
  <c r="S22" i="4"/>
  <c r="S21" i="4"/>
  <c r="S20" i="4"/>
  <c r="S18" i="4"/>
  <c r="S17" i="4"/>
  <c r="S16" i="4"/>
  <c r="S15" i="4"/>
  <c r="S14" i="4"/>
  <c r="S13" i="4"/>
  <c r="S12" i="4"/>
  <c r="S10" i="4"/>
  <c r="S9" i="4"/>
  <c r="T28" i="4"/>
  <c r="T27" i="4"/>
  <c r="T26" i="4"/>
  <c r="T23" i="4"/>
  <c r="T22" i="4"/>
  <c r="T21" i="4"/>
  <c r="T20" i="4"/>
  <c r="T19" i="4"/>
  <c r="T18" i="4"/>
  <c r="T17" i="4"/>
  <c r="T16" i="4"/>
  <c r="T15" i="4"/>
  <c r="T14" i="4"/>
  <c r="T13" i="4"/>
  <c r="T12" i="4"/>
  <c r="S11" i="4"/>
  <c r="F17" i="3"/>
  <c r="F16" i="3"/>
  <c r="F15" i="3"/>
  <c r="F14" i="3"/>
  <c r="F7" i="3"/>
  <c r="F6" i="3"/>
  <c r="O30" i="4" l="1"/>
  <c r="R30" i="4"/>
  <c r="F27" i="3"/>
  <c r="Q30" i="4"/>
  <c r="S30" i="4"/>
  <c r="F8" i="3"/>
  <c r="F18" i="3"/>
  <c r="H10" i="4"/>
  <c r="P10" i="4" l="1"/>
  <c r="P30" i="4" s="1"/>
  <c r="H30" i="4"/>
  <c r="T30" i="4" s="1"/>
  <c r="T10" i="4"/>
  <c r="D7" i="3"/>
  <c r="D6" i="3"/>
  <c r="D17" i="3"/>
  <c r="D16" i="3"/>
  <c r="D15" i="3"/>
  <c r="D14" i="3"/>
  <c r="D27" i="3" l="1"/>
  <c r="D18" i="3"/>
  <c r="E15" i="3" s="1"/>
  <c r="D8" i="3"/>
  <c r="E5" i="3" s="1"/>
  <c r="E24" i="3" l="1"/>
  <c r="E25" i="3"/>
  <c r="E26" i="3"/>
  <c r="E14" i="3"/>
  <c r="E7" i="3"/>
  <c r="E16" i="3"/>
  <c r="E17" i="3"/>
  <c r="E6" i="3"/>
  <c r="E8" i="3" l="1"/>
  <c r="E18" i="3"/>
  <c r="E27" i="3"/>
</calcChain>
</file>

<file path=xl/sharedStrings.xml><?xml version="1.0" encoding="utf-8"?>
<sst xmlns="http://schemas.openxmlformats.org/spreadsheetml/2006/main" count="1011" uniqueCount="256">
  <si>
    <t>Jasa lainnya</t>
  </si>
  <si>
    <t>Rehabilitasi gudang huntara dan tempat rehat personil/petugas kebencanaan</t>
  </si>
  <si>
    <t>Tender</t>
  </si>
  <si>
    <t>BADAN PENANGGULANGAN BENCANA DAERAH</t>
  </si>
  <si>
    <t>Pekerjaan Konstruksi</t>
  </si>
  <si>
    <t>Belanja Makanan Minuman Pelatihan Dasar CPNS Angkatan I sampai dengan Angkatan VII</t>
  </si>
  <si>
    <t>BADAN KEPEGAWAIAN PENDIDIKAN DAN PELATIHAN</t>
  </si>
  <si>
    <t>Pembangunan Gedung Kantor Perijinan</t>
  </si>
  <si>
    <t>Jasa Konsultasi Pengawasan Teknis Pembangunan Gedung Perijinan</t>
  </si>
  <si>
    <t>Rehab Gedung Setda Timur</t>
  </si>
  <si>
    <t>Pembangunan Taman, Parkir dan Pos Jaga di Lingkungan Kantor Bupati Kudus</t>
  </si>
  <si>
    <t>JASA OUTSOURCING CLEANING SERVICE GEDUNG KANTOR 12 BULAN</t>
  </si>
  <si>
    <t>Tender Cepat</t>
  </si>
  <si>
    <t>JASA OUTSOURCHING CLEANING SERVICE RUMAH DINAS 12 BULAN</t>
  </si>
  <si>
    <t>BAGIAN UMUM</t>
  </si>
  <si>
    <t>Jasa Lainnya</t>
  </si>
  <si>
    <t>Belanja barang/material untuk TMMD Desa Kedungsari Kecamatan Gebog</t>
  </si>
  <si>
    <t>Belanja barang/material untuk TMMD Desa Undaan Kidul Kecamatan Undaan</t>
  </si>
  <si>
    <t>Belanja barang/ material untuk TMMD Desa Gondoharum Kecamatan Jekulo</t>
  </si>
  <si>
    <t>DINAS PEMBERDAYAAN MASYARAKAT DESA</t>
  </si>
  <si>
    <t>Pembangunan Zona Wisata 1 di Kawasan Waduk Logung</t>
  </si>
  <si>
    <t>Pekerjaan Rehab Pagar Parkir di Taman Ria Colo</t>
  </si>
  <si>
    <t>Pekerjaan Rehab/penataan villa, taman dan halaman belakang di graha muria</t>
  </si>
  <si>
    <t>Penataan tempat pembuangan sampah, Rehab Toilet Depan Museum Kretek, Perbaikan Kios Museum Kretek</t>
  </si>
  <si>
    <t>DINAS KEBUDAYAAN DAN PARIWISATA</t>
  </si>
  <si>
    <t>Renovasi Puskesmas Rendeng</t>
  </si>
  <si>
    <t>Renovasi Puskesmas Jati</t>
  </si>
  <si>
    <t>Pembangunan Jembatan Jalan Garung Lor - Getassrabi (218)</t>
  </si>
  <si>
    <t>Pembangunan Jembatan Jalan Blolo - Nganti (216)</t>
  </si>
  <si>
    <t>Pembangunan Jembatan Mlatinorowito - Rendeng 2 / GG6</t>
  </si>
  <si>
    <t>Pembangunan Jembatan Gajian - watu Putih</t>
  </si>
  <si>
    <t>Penggantian Jembatan Jalan Dersalam - Conge (7)</t>
  </si>
  <si>
    <t>Peningkatan Jalan Kapten Ali Mahmudi</t>
  </si>
  <si>
    <t>Peningkatan Jalan Purworejo - UMK</t>
  </si>
  <si>
    <t>Peningkatan Jalan Blolo - Nganti</t>
  </si>
  <si>
    <t>Peningkatan Jalan Kyai Telingsing</t>
  </si>
  <si>
    <t>Peningkatan Jalan Sumber - Mejobo</t>
  </si>
  <si>
    <t>Peningkatan Jalan Bulungcangkring - Batas Pati</t>
  </si>
  <si>
    <t>Peningkatan Jalan Kesambi - Jelak</t>
  </si>
  <si>
    <t>Peningkatan Jalan Bae - Krajan - Samirejo</t>
  </si>
  <si>
    <t>Peningkatan Jalan Beji - Turus</t>
  </si>
  <si>
    <t>Peningkatan Jalan Gondangmanis - Margorejo</t>
  </si>
  <si>
    <t>Peningkatan Jalan Kaliputu - Kajeksan</t>
  </si>
  <si>
    <t>Peningkatan Jalan Lingkar Utara - Bae</t>
  </si>
  <si>
    <t>Peningkatan Jalan Ganesha I - Pasuruhan Kidul</t>
  </si>
  <si>
    <t>Peningkatan Jalan Gondangmanis - Dukuh Kadisono</t>
  </si>
  <si>
    <t>Pembangunan Talud Jalan Babalan - Batas Pati</t>
  </si>
  <si>
    <t>Rehabilitasi Jalan Dukuh Kawakan - Gringging</t>
  </si>
  <si>
    <t>Rehabilitasi Jalan Kayuapu - Karangbener</t>
  </si>
  <si>
    <t>Rehabilitasi Jalan Karangmalang - klumpit</t>
  </si>
  <si>
    <t>Aspal</t>
  </si>
  <si>
    <t>AC WC</t>
  </si>
  <si>
    <t>Pembangunan Talud Jalan Karangrowo - Larikrejo</t>
  </si>
  <si>
    <t>Pembangunan Talud Jalan Larikrejo - Kaliyoso</t>
  </si>
  <si>
    <t>Pembangunan Talud Jalan Undaan Lor - Larikrejo</t>
  </si>
  <si>
    <t>Pembangunan Talud Jalan Lingkar Tenggara - Kirig</t>
  </si>
  <si>
    <t>Pembangunan Talud Jalan Undaan Kidul - Gatet</t>
  </si>
  <si>
    <t>Pembangunan Talud Jalan Wates - Larikrejo</t>
  </si>
  <si>
    <t>Pembangunan Talud Jalan Medini - Kutuk</t>
  </si>
  <si>
    <t>Pembangunan Talud Jalan Kutuk - gatet</t>
  </si>
  <si>
    <t>Pembangunan Talud Jalan Undaan Tengah - Gatet</t>
  </si>
  <si>
    <t>Peningkatan Jalan Ngeseng - Kaliyoso</t>
  </si>
  <si>
    <t>Peningkatan Jalan Sidorekso - Kedungdowo</t>
  </si>
  <si>
    <t>Peningkatan Jalan Rejosari - Kandangmas</t>
  </si>
  <si>
    <t>Peningkatan Jalan Terban - Kancilan</t>
  </si>
  <si>
    <t>Peningkatan Jalan Wates - Larikrejo</t>
  </si>
  <si>
    <t>Pembangunan Jalan Lau - Masin</t>
  </si>
  <si>
    <t>Pembangunan Jalan Tanjungkarang - Tanjung Lor</t>
  </si>
  <si>
    <t>Pembangunan Jalan Dukuh Tanggulangin - Tanjungkarang</t>
  </si>
  <si>
    <t>Rehabilitasi Jalan Ngelo - Ngeseng</t>
  </si>
  <si>
    <t>Rehabilitasi Jalan Kadilangon - Cendono</t>
  </si>
  <si>
    <t>Rehabilitasi Jalan Pladen - Jawik</t>
  </si>
  <si>
    <t>Rehabilitasi Jalan Pohdengkol - Nosari</t>
  </si>
  <si>
    <t>Rehabilitasi Jalan Undaan Tengah - Gatet</t>
  </si>
  <si>
    <t>Pembangunan Talud Saluran Pembuang Pesantren</t>
  </si>
  <si>
    <t>Pembangunan Sabodam Wonosoco</t>
  </si>
  <si>
    <t>Rehabilitasi Jalan Jekulo Kidul - Sadang</t>
  </si>
  <si>
    <t>Rehabilitasi D.I. Petir</t>
  </si>
  <si>
    <t>Rehabilitasi D.I. Duren</t>
  </si>
  <si>
    <t>Rehabilitasi D.I. Elo</t>
  </si>
  <si>
    <t>Rehabilitasi D.I. Ingas Sundeng</t>
  </si>
  <si>
    <t>Rehabilitasi D.I. Seboyo</t>
  </si>
  <si>
    <t>Rehabilitasi D.I. Sendono</t>
  </si>
  <si>
    <t>Rehabilitasi D.I. Tegaru</t>
  </si>
  <si>
    <t>Pasangan Talud Kali Mrisen Desa Golantepus</t>
  </si>
  <si>
    <t>Pasangan Talud Sungai Jati Pasean</t>
  </si>
  <si>
    <t>Pasangan Talud Saluran Pembuang Doro</t>
  </si>
  <si>
    <t>Pasangan Talud Sungai Drakah Desa Gamong</t>
  </si>
  <si>
    <t>Rehab Gedung dan Sarpras Kejaksaan Negeri Kudus</t>
  </si>
  <si>
    <t>Rehab Gedung Rumah Sakit Kartika Husada (Kodim 0722 Kudus)</t>
  </si>
  <si>
    <t>Pembangunan Drainase Gorong-gorong Jl. Dersalam-UMK</t>
  </si>
  <si>
    <t>Pembangunan Drainase Jl. Kresna Jati Wetan</t>
  </si>
  <si>
    <t>Pembangunan Saluran Drainase Jl. Panjang - UMK</t>
  </si>
  <si>
    <t>Pembangunan Saluran Drainase Jl. Panjang - Peganjaran</t>
  </si>
  <si>
    <t>Pembangunan City Walk Jalan Sunan Kudus</t>
  </si>
  <si>
    <t>Pembangunan Saluran Drainase dan Trotoar Jalan Kolonel Tit Sudono</t>
  </si>
  <si>
    <t>Pembangunan Saluran Drainase dan Trotoar Jalan Nuri</t>
  </si>
  <si>
    <t>Pembangunan saluran drainase jalan kapten ali mahmudi</t>
  </si>
  <si>
    <t>Peningkatan Jalan Lingkar Tenggara - Bancak</t>
  </si>
  <si>
    <t>Pembangunan Drainase Jalan KH. Turaichan - KH. Achmad Dahlan</t>
  </si>
  <si>
    <t>Pembangunan Sarana dan Prasarana Air Minum</t>
  </si>
  <si>
    <t>Pembangunan Drainase Jalan Tersono - Gribig (241)</t>
  </si>
  <si>
    <t>Pembangunan Drainase Gorong-Gorong Jalan Sidorekso - Kedungdowo</t>
  </si>
  <si>
    <t>Pembangunan Saluran Drainase Jalan Jekulo - Bulungcangkring</t>
  </si>
  <si>
    <t>Pembangunan Saluran Drainase ruas Jalan Prambatan - Gribig</t>
  </si>
  <si>
    <t>Rehabilitasi Gorong-Gorong Jalan Bulung Kulon - Dukuh Karangrowo</t>
  </si>
  <si>
    <t>Pembangunan Saluran Drainase dan Trotoar Jl Subchan ze</t>
  </si>
  <si>
    <t>Rehabilitasi /pemeliharaan saluran drainase dan trotoar jl. kyai telingsing</t>
  </si>
  <si>
    <t>Pembangunan drainase / gorong-gorong jalan pedawang-dersalam</t>
  </si>
  <si>
    <t>Pembangunan drainase jalan pasuruhan lor - pasuruhan kidul</t>
  </si>
  <si>
    <t>Pembangunan drainase jalan sidorekso - kedungdowo</t>
  </si>
  <si>
    <t>Rehabilitasi drainase jalan mayor kusmanto</t>
  </si>
  <si>
    <t>DINAS PEKERJAAN UMUM DAN PENATAAN RUANG</t>
  </si>
  <si>
    <t>Rehabilitasi Sedang/berat Ruang Kelas dan Pembangunan Lapangan Upacara SD 6 Jekulo</t>
  </si>
  <si>
    <t>Rehabilitasi Sedang/berat Ruang Kelas dan Pembangunan Pagar SD 5 Jepang</t>
  </si>
  <si>
    <t>Rehabilitasi Sedang/berat Ruang Kelas dan Pembangunan Lapangan Upacara SD 4 Jati Wetan</t>
  </si>
  <si>
    <t>Rehabilitasi Sedang/berat Ruang Kelas, Rehabilitasi Sedang/berat Ruang Guru dan Pavingisasi Lapangan SD 3 Jati Wetan</t>
  </si>
  <si>
    <t>Rehabilitasi Sedang/berat Ruang Kelas SD 1 Piji</t>
  </si>
  <si>
    <t>Pembangunan Jamban dan Pavingisasi Lapangan SD 1 Gamong</t>
  </si>
  <si>
    <t>Pengadaan Alat Olahraga</t>
  </si>
  <si>
    <t>Konsultansi Perencanaan Rehab Tribun Stadion Wergu Wetan Kudus</t>
  </si>
  <si>
    <t>Rehab Tribun Stadion Wergu Wetan Kudus</t>
  </si>
  <si>
    <t>Konsultansi Pengawasan Rehab Tribun Stadion Wergu Wetan Kudus</t>
  </si>
  <si>
    <t>DINAS PENDIDIKAN KEPEMUDAAN DAN OLAHRAGA</t>
  </si>
  <si>
    <t>Asuransi Gedung Pasar/Kantor Dinas Perdagangan</t>
  </si>
  <si>
    <t>Publikasi Perdagangan</t>
  </si>
  <si>
    <t>Revitalisasi Pasar Jember</t>
  </si>
  <si>
    <t>Revitalisasi Pasar Bitingan</t>
  </si>
  <si>
    <t>Revitalisasi Pasar Kliwon</t>
  </si>
  <si>
    <t>DINAS PERDAGANGAN</t>
  </si>
  <si>
    <t>Pengadaan Traffic Light ATCS</t>
  </si>
  <si>
    <t>Pengadaan dan Pemasangan Trafic Light</t>
  </si>
  <si>
    <t>DINAS PERHUBUNGAN</t>
  </si>
  <si>
    <t>Belanja Jasa Penyusunan Peta Lahan Pangan Pertanian Berkelanjutan (LP2B)</t>
  </si>
  <si>
    <t>Pengadaan bibit tanaman buah untuk Demplot Kebun Bibit Buah Sistem irigasi Drip/Tetes</t>
  </si>
  <si>
    <t>Pengadaan bibit kopi dan cengkih</t>
  </si>
  <si>
    <t>DINAS PERTANIAN DAN PANGAN</t>
  </si>
  <si>
    <t>Pengadaan Material LPJU</t>
  </si>
  <si>
    <t>Meterisasi LPJU</t>
  </si>
  <si>
    <t>Meterisasi Rusunawa</t>
  </si>
  <si>
    <t>Pemasangan LPJU Rejosari - Kuwukan (dukuh Masin/Bregat Desa Kandangmas)</t>
  </si>
  <si>
    <t>Pengadaan alat laboratorium lingkungan</t>
  </si>
  <si>
    <t>Outsourcing Tenaga Keamanan / Penjaga</t>
  </si>
  <si>
    <t>Pengadaan outsourcing tenaga keamanan Rusunawa</t>
  </si>
  <si>
    <t>Pengadaan outsourcing tenaga kebersihan rusunawa</t>
  </si>
  <si>
    <t>DINAS PERUMAHAN KAWASAN PERMUKIMAN DAN LINGKUNGAN HIDUP</t>
  </si>
  <si>
    <t>Kegiatan rehab jalan gorong-gorong jalan bejen RT 2/3 dan RT 3/3 Kajeksan</t>
  </si>
  <si>
    <t>Kegiatan pembangunan gedung pendidikan usia dini kelurahan Kajeksan</t>
  </si>
  <si>
    <t>KELURAHAN KAJEKSAN</t>
  </si>
  <si>
    <t>Pembangunan saluran air/drainase/gorong-gorong Jalan Sumur Tulak</t>
  </si>
  <si>
    <t>KELURAHAN MLATI KIDUL</t>
  </si>
  <si>
    <t>Biaya Jasa Keamanan</t>
  </si>
  <si>
    <t>Jasa Kebersihan Tahap II</t>
  </si>
  <si>
    <t>Pembangunan Gedung IBS (Instalasi Bedah Sentral)</t>
  </si>
  <si>
    <t>RUMAH SAKIT UMUM DAERAH</t>
  </si>
  <si>
    <t>Rehab ruang Fraksi DPRD</t>
  </si>
  <si>
    <t>SEKRETARIAT DPRD</t>
  </si>
  <si>
    <t>Belanja Perlengkapan Kesehatan</t>
  </si>
  <si>
    <t>UPTD LABORATORIUM KESEHATAN</t>
  </si>
  <si>
    <t>PAGU (Rp.)</t>
  </si>
  <si>
    <t>NAMA PAKET</t>
  </si>
  <si>
    <t>WAKTU PEMILIHAN</t>
  </si>
  <si>
    <t>JENIS PENGADAAN</t>
  </si>
  <si>
    <t>Barang</t>
  </si>
  <si>
    <t>No</t>
  </si>
  <si>
    <t>ORGANISASI PERANGKAT DAERAH</t>
  </si>
  <si>
    <t>METODE</t>
  </si>
  <si>
    <t>REKAP PAKET TENDER, TENDER CEPAT DAN SELEKSI</t>
  </si>
  <si>
    <t>TAHUN ANGGARAN 2020</t>
  </si>
  <si>
    <t>Seleksi</t>
  </si>
  <si>
    <t>DINAS KESEHATAN</t>
  </si>
  <si>
    <t>TOTAL ANGGARAN</t>
  </si>
  <si>
    <t>TENDER</t>
  </si>
  <si>
    <t>TENDER CEPAT</t>
  </si>
  <si>
    <t>SELEKSI</t>
  </si>
  <si>
    <t>Pengadaan Barang</t>
  </si>
  <si>
    <t>Jasa Konsultansi</t>
  </si>
  <si>
    <t>:</t>
  </si>
  <si>
    <t>TOTAL PAKET</t>
  </si>
  <si>
    <t>TOTAL JUMLAH</t>
  </si>
  <si>
    <t>Konstruksi</t>
  </si>
  <si>
    <t>NO. KONTRAK</t>
  </si>
  <si>
    <t>TGL. KONTRAK</t>
  </si>
  <si>
    <t>NILAI KONTRAK</t>
  </si>
  <si>
    <t>PENYEDIA PEMENANG</t>
  </si>
  <si>
    <t>STATUS</t>
  </si>
  <si>
    <t>REKAP PAKET SESUAI JENIS PENGADAAN</t>
  </si>
  <si>
    <t>REKAP PELAKSANAAN PAKET</t>
  </si>
  <si>
    <t>Belum Dilaksanakan</t>
  </si>
  <si>
    <t>Proses</t>
  </si>
  <si>
    <t>Sudah Selesai/Kontrak</t>
  </si>
  <si>
    <t>Review DED Jalan Lingkar Timur</t>
  </si>
  <si>
    <t>Updating Data Base Jalan</t>
  </si>
  <si>
    <t>Penyempurnaan Penyusunan RDTRK Kawasan Perkotaan Kecamatan Mejobo</t>
  </si>
  <si>
    <t>Penyusunan Data Pertanahan</t>
  </si>
  <si>
    <t>Biaya Appraisal Tanah</t>
  </si>
  <si>
    <t>Konsultansi Pengawasan Pembangunan City Walk Jalan Sunan Kudus</t>
  </si>
  <si>
    <t>Managemen Kontruksi Pembangunan Gedung IBS (Instalasi bedah sentral)</t>
  </si>
  <si>
    <t>PT. PRIMA MITRA LAKSANA</t>
  </si>
  <si>
    <t>KONTRAK</t>
  </si>
  <si>
    <t>PT. ETOS NASIONAL</t>
  </si>
  <si>
    <t>PROSES</t>
  </si>
  <si>
    <t>BELUM</t>
  </si>
  <si>
    <t>DINAS TENAGA KERJA PERINDUSTRIAN KOPERASI USAHA KECIL MENENGAH</t>
  </si>
  <si>
    <t>Belanja Jasa Pelaksanaan Pelatihan Wirausaha Baru</t>
  </si>
  <si>
    <t>Penyelenggaraan Kudus, Industri, Koperasi, UKM, dan Bursa Expo 2020</t>
  </si>
  <si>
    <t>REKAP TENDER, TENDER CEPAT DAN SELEKSI</t>
  </si>
  <si>
    <t>NO</t>
  </si>
  <si>
    <t>OPD</t>
  </si>
  <si>
    <t xml:space="preserve">JML </t>
  </si>
  <si>
    <t>TOTAL</t>
  </si>
  <si>
    <t>PERENCANAAN</t>
  </si>
  <si>
    <t>REALISASI</t>
  </si>
  <si>
    <t>REKAP PERENCANAAN DAN PELAKSANAAN PENGADAAN BARANG/JASA</t>
  </si>
  <si>
    <t xml:space="preserve">OPD SE-KABUPATEN KUDUS </t>
  </si>
  <si>
    <t>R U P</t>
  </si>
  <si>
    <t>DILAKSANAKAN</t>
  </si>
  <si>
    <t>SELISIH REALISASI</t>
  </si>
  <si>
    <t>JML</t>
  </si>
  <si>
    <t>%</t>
  </si>
  <si>
    <t>Belanja Jasa konsultansi pengawasan rehab ruang Fraksi</t>
  </si>
  <si>
    <t>Rehabilitasi Jaringan Irigasi D.I.Setro</t>
  </si>
  <si>
    <t>Rehabilitasi Jaringan Irigasi D.I.Mojo Perak</t>
  </si>
  <si>
    <t>cv sekar bangun mandiri</t>
  </si>
  <si>
    <t>TOTAL PAGU ANGGARAN</t>
  </si>
  <si>
    <t>TOTAL  PAGU ANGGARAN</t>
  </si>
  <si>
    <t>KELURAHAN MLATI NOROWITO</t>
  </si>
  <si>
    <t>KELURAHAN WERGU KULON</t>
  </si>
  <si>
    <t>Pembangunan Saluran air jalan Gang 10 (barat)</t>
  </si>
  <si>
    <t>Belanja Modal Jalan, Irigasi dan Jaringan - Pengadaan Instalasi Air Kotor (Rehabilitasi/Pemeliharaan Drainase/Saluran/Gorong-Gorong di Wilayah Kelurahan Wergu Kulon</t>
  </si>
  <si>
    <t>Belanja Modal Jalan,Irigasi dan Jaringan-Pengadaan Jalan Desa</t>
  </si>
  <si>
    <t>Pengadaan Jaringan Listrik</t>
  </si>
  <si>
    <t>BAGIAN KESEJAHTERAAN RAKYAT</t>
  </si>
  <si>
    <t>Belanja Sewa Sarana Mobilitas Darat PPIH</t>
  </si>
  <si>
    <t>Peningkatan Jalan Tanjungrejo - Kandangmas ( no ruas 206 )</t>
  </si>
  <si>
    <t>Pembangunan Jembatan Kandangmas - Cranggang Wetan</t>
  </si>
  <si>
    <t>Penguatan Database dan Survey Kondisi Jalan (DD1)</t>
  </si>
  <si>
    <t>Penguatan Database dan Survey Kondisi Jembatan (DD2)</t>
  </si>
  <si>
    <t>Pelebaran Jalan Krawang - Jojo (201)</t>
  </si>
  <si>
    <t>Pelebaran Jalan Peganjaran - Besito (030)</t>
  </si>
  <si>
    <t>Pelebaran Jalan Besito - Jurang (091)</t>
  </si>
  <si>
    <t>Pelebaran Jalan KH. R. Asnawi (268)</t>
  </si>
  <si>
    <t>PT. PERDANA CITRA GEMILANG</t>
  </si>
  <si>
    <t>Hibah Peningkatan SPAM Melalui Penambahan Kapasitas dan/atau Volume dari Sarana dan Prasarana SPAM terbangun kepada LKM Tirto Madu Desa Banget Kecamatan Kaliwungu Kabupaten Kudus</t>
  </si>
  <si>
    <t>Hibah Peningkatan SPAM Melalui Penambahan Kapasitas dan/atau Volume dari Sarana dan Prasarana SPAM terbangun kepada LKM Jaya abadi Desa Gamong Kecamatan Kaliwungu Kabupaten Kudus</t>
  </si>
  <si>
    <t>Hibah Peningkatan SPAM Melalui Penambahan Kapasitas dan/atau Volume dari Sarana dan Prasarana SPAM terbangun kepada LKM Sumber Abadi Desa Sidorekso Kecamatan Kaliwungu Kabupaten Kudus</t>
  </si>
  <si>
    <t>Hibah Peningkatan SPAM Melalui Penambahan Kapasitas dan/atau Volume dari Sarana dan Prasarana SPAM terbangun kepada LKM Tirto Mulyo Desa Papringan Kecamatan Kaliwungu Kabupaten Kudus</t>
  </si>
  <si>
    <t>Hibah Peningkatan SPAM Melalui Penambahan Kapasitas dan/atau Volume dari Sarana dan Prasarana SPAM terbangun kepada BKM Sumber Amanah Desa Karangampel Kecamatan Kaliwungu Kabupaten Kudus</t>
  </si>
  <si>
    <t>Hibah Peningkatan SPAM Melalui Penambahan Kapasitas dan/atau Volume dari Sarana dan Prasarana SPAM terbangun kepada LKM Tirta Abadi Desa Garung Lor Kecamatan Kaliwungu Kabupaten Kudus</t>
  </si>
  <si>
    <t>Hibah Peningkatan SPAM Melalui Penambahan Kapasitas dan/atau Volume dari Sarana dan Prasarana SPAM terbangun kepada LKM Singo Tirto Desa Singocandi Kecamatan Kota Kabupaten Kudus</t>
  </si>
  <si>
    <t>Hibah Peningkatan SPAM Melalui Penambahan Kapasitas dan/atau Volume dari Sarana dan Prasarana SPAM terbangun kepada LKM Tirta Barokah Desa Jetis Kapuan Kecamatan Jati Kabupaten Kudus</t>
  </si>
  <si>
    <t>Hibah Peningkatan SPAM Melalui Penambahan Kapasitas dan/atau Volume dari Sarana dan Prasarana SPAM terbangun kepada BKM Jati Makmur Desa Jati Wetan Kecamatan Jati Kabupaten Kudus</t>
  </si>
  <si>
    <t>Hibah Peningkatan SPAM Melalui Penambahan Kapasitas dan/atau Volume dari Sarana dan Prasarana SPAM terbangun kepada BKM Bhakti Sejahtera Desa Padurenan Kecamatan Gebog Kabupaten Kudus</t>
  </si>
  <si>
    <t>Hibah Peningkatan SPAM Melalui Penambahan Kapasitas dan/atau Volume dari Sarana dan Prasarana SPAM terbangun kepada BKM Sumber Makmur Desa Piji Kecamatan Dawe Kabupaten Kudus</t>
  </si>
  <si>
    <t>Belanja Bahan Kimia dan Pupuk</t>
  </si>
  <si>
    <t>PUTRA NAVEEZ SATYA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</si>
</sst>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Book Antiqua"/>
      <family val="1"/>
    </font>
    <font>
      <sz val="12"/>
      <color theme="1"/>
      <name val="Book Antiqua"/>
      <family val="1"/>
    </font>
    <font>
      <sz val="11"/>
      <color rgb="FF2E3436"/>
      <name val="Book Antiqua"/>
      <family val="1"/>
    </font>
    <font>
      <sz val="14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rgb="FF2E3436"/>
      <name val="Book Antiqua"/>
      <family val="1"/>
    </font>
    <font>
      <b/>
      <sz val="11"/>
      <color rgb="FF333333"/>
      <name val="Book Antiqua"/>
      <family val="1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Dashed">
        <color rgb="FFDDDDDD"/>
      </top>
      <bottom/>
      <diagonal/>
    </border>
    <border>
      <left/>
      <right style="medium">
        <color rgb="FFDDDDDD"/>
      </right>
      <top style="mediumDashed">
        <color rgb="FFDDDDDD"/>
      </top>
      <bottom style="medium">
        <color rgb="FFDDDDDD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>
      <alignment vertical="top"/>
    </xf>
    <xf numFmtId="0" fontId="4" fillId="0" borderId="0"/>
    <xf numFmtId="165" fontId="2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17" fontId="10" fillId="4" borderId="1" xfId="0" applyNumberFormat="1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6" fillId="0" borderId="1" xfId="4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166" fontId="9" fillId="0" borderId="12" xfId="4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4" applyFont="1" applyBorder="1" applyAlignment="1">
      <alignment horizontal="center" vertical="center"/>
    </xf>
    <xf numFmtId="167" fontId="12" fillId="0" borderId="1" xfId="4" applyNumberFormat="1" applyFont="1" applyBorder="1" applyAlignment="1">
      <alignment horizontal="center" vertical="center"/>
    </xf>
    <xf numFmtId="166" fontId="12" fillId="0" borderId="1" xfId="4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166" fontId="12" fillId="5" borderId="1" xfId="4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65" fontId="12" fillId="5" borderId="1" xfId="4" applyFont="1" applyFill="1" applyBorder="1" applyAlignment="1">
      <alignment horizontal="center" vertical="center"/>
    </xf>
    <xf numFmtId="167" fontId="12" fillId="5" borderId="1" xfId="4" applyNumberFormat="1" applyFont="1" applyFill="1" applyBorder="1" applyAlignment="1">
      <alignment horizontal="center" vertical="center"/>
    </xf>
    <xf numFmtId="166" fontId="12" fillId="0" borderId="1" xfId="4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vertical="center"/>
    </xf>
    <xf numFmtId="10" fontId="9" fillId="5" borderId="10" xfId="0" applyNumberFormat="1" applyFont="1" applyFill="1" applyBorder="1" applyAlignment="1">
      <alignment vertical="center"/>
    </xf>
    <xf numFmtId="0" fontId="9" fillId="5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vertical="center" wrapText="1"/>
    </xf>
    <xf numFmtId="3" fontId="10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3" fontId="10" fillId="11" borderId="1" xfId="0" applyNumberFormat="1" applyFont="1" applyFill="1" applyBorder="1" applyAlignment="1">
      <alignment horizontal="right" vertical="center" wrapText="1"/>
    </xf>
    <xf numFmtId="0" fontId="6" fillId="11" borderId="11" xfId="1" applyFont="1" applyFill="1" applyBorder="1" applyAlignment="1">
      <alignment vertical="center" wrapText="1"/>
    </xf>
    <xf numFmtId="0" fontId="7" fillId="11" borderId="11" xfId="1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3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wrapText="1"/>
    </xf>
    <xf numFmtId="166" fontId="7" fillId="11" borderId="1" xfId="4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165" fontId="9" fillId="0" borderId="10" xfId="4" applyFont="1" applyBorder="1" applyAlignment="1">
      <alignment vertical="center"/>
    </xf>
    <xf numFmtId="165" fontId="9" fillId="5" borderId="10" xfId="4" applyFont="1" applyFill="1" applyBorder="1" applyAlignment="1">
      <alignment vertical="center"/>
    </xf>
    <xf numFmtId="165" fontId="6" fillId="0" borderId="0" xfId="4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0" borderId="11" xfId="4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6" fillId="2" borderId="1" xfId="0" applyNumberFormat="1" applyFont="1" applyFill="1" applyBorder="1" applyAlignment="1">
      <alignment vertical="top" wrapText="1"/>
    </xf>
    <xf numFmtId="0" fontId="6" fillId="4" borderId="1" xfId="1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vertical="top" wrapText="1"/>
    </xf>
    <xf numFmtId="0" fontId="6" fillId="2" borderId="1" xfId="0" applyFont="1" applyFill="1" applyBorder="1"/>
    <xf numFmtId="0" fontId="6" fillId="11" borderId="2" xfId="0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vertical="center" wrapText="1"/>
    </xf>
    <xf numFmtId="3" fontId="6" fillId="11" borderId="2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166" fontId="12" fillId="0" borderId="1" xfId="4" applyNumberFormat="1" applyFont="1" applyBorder="1" applyAlignment="1">
      <alignment horizontal="right" vertical="center"/>
    </xf>
    <xf numFmtId="166" fontId="12" fillId="0" borderId="1" xfId="4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6" fontId="12" fillId="5" borderId="1" xfId="4" applyNumberFormat="1" applyFont="1" applyFill="1" applyBorder="1" applyAlignment="1">
      <alignment horizontal="right" vertical="center"/>
    </xf>
    <xf numFmtId="0" fontId="15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" fontId="6" fillId="2" borderId="2" xfId="0" applyNumberFormat="1" applyFont="1" applyFill="1" applyBorder="1" applyAlignment="1">
      <alignment horizontal="center" vertical="center" wrapText="1"/>
    </xf>
    <xf numFmtId="17" fontId="6" fillId="2" borderId="2" xfId="0" applyNumberFormat="1" applyFont="1" applyFill="1" applyBorder="1" applyAlignment="1">
      <alignment vertical="top" wrapText="1"/>
    </xf>
    <xf numFmtId="165" fontId="6" fillId="0" borderId="6" xfId="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5" xfId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5" fontId="6" fillId="0" borderId="5" xfId="4" applyFont="1" applyBorder="1" applyAlignment="1">
      <alignment vertical="center" wrapText="1"/>
    </xf>
    <xf numFmtId="0" fontId="6" fillId="3" borderId="1" xfId="1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/>
    </xf>
    <xf numFmtId="3" fontId="6" fillId="11" borderId="5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vertical="top" wrapText="1"/>
    </xf>
    <xf numFmtId="3" fontId="6" fillId="11" borderId="1" xfId="0" applyNumberFormat="1" applyFont="1" applyFill="1" applyBorder="1" applyAlignment="1">
      <alignment horizontal="right" vertical="center" wrapText="1"/>
    </xf>
    <xf numFmtId="3" fontId="6" fillId="11" borderId="2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5" fontId="8" fillId="5" borderId="5" xfId="4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17" fontId="6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6" fontId="9" fillId="0" borderId="0" xfId="4" applyNumberFormat="1" applyFont="1" applyFill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164" fontId="9" fillId="5" borderId="10" xfId="0" applyNumberFormat="1" applyFont="1" applyFill="1" applyBorder="1" applyAlignment="1">
      <alignment vertical="center"/>
    </xf>
    <xf numFmtId="166" fontId="9" fillId="0" borderId="10" xfId="4" applyNumberFormat="1" applyFont="1" applyBorder="1" applyAlignment="1">
      <alignment vertical="center"/>
    </xf>
    <xf numFmtId="166" fontId="9" fillId="5" borderId="10" xfId="4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center" wrapText="1"/>
    </xf>
    <xf numFmtId="165" fontId="6" fillId="0" borderId="1" xfId="4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7" fontId="16" fillId="4" borderId="17" xfId="0" applyNumberFormat="1" applyFont="1" applyFill="1" applyBorder="1" applyAlignment="1">
      <alignment vertical="top" wrapText="1"/>
    </xf>
    <xf numFmtId="17" fontId="16" fillId="2" borderId="18" xfId="0" applyNumberFormat="1" applyFont="1" applyFill="1" applyBorder="1" applyAlignment="1">
      <alignment vertical="top" wrapText="1"/>
    </xf>
    <xf numFmtId="17" fontId="16" fillId="4" borderId="18" xfId="0" applyNumberFormat="1" applyFont="1" applyFill="1" applyBorder="1" applyAlignment="1">
      <alignment vertical="top" wrapText="1"/>
    </xf>
    <xf numFmtId="17" fontId="16" fillId="3" borderId="19" xfId="0" applyNumberFormat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17" fontId="6" fillId="3" borderId="11" xfId="0" applyNumberFormat="1" applyFont="1" applyFill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1" xfId="0" applyFont="1" applyBorder="1"/>
    <xf numFmtId="0" fontId="13" fillId="7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165" fontId="9" fillId="0" borderId="15" xfId="4" applyFont="1" applyBorder="1" applyAlignment="1">
      <alignment horizontal="center" vertical="center"/>
    </xf>
    <xf numFmtId="165" fontId="9" fillId="0" borderId="16" xfId="4" applyFont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165" fontId="9" fillId="5" borderId="15" xfId="4" applyFont="1" applyFill="1" applyBorder="1" applyAlignment="1">
      <alignment horizontal="center" vertical="center"/>
    </xf>
    <xf numFmtId="165" fontId="9" fillId="5" borderId="16" xfId="4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164" fontId="5" fillId="5" borderId="2" xfId="2" applyNumberFormat="1" applyFont="1" applyFill="1" applyBorder="1" applyAlignment="1">
      <alignment horizontal="center" vertical="center" wrapText="1"/>
    </xf>
    <xf numFmtId="164" fontId="5" fillId="5" borderId="5" xfId="2" applyNumberFormat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5" fontId="8" fillId="5" borderId="2" xfId="4" applyFont="1" applyFill="1" applyBorder="1" applyAlignment="1">
      <alignment horizontal="center" vertical="center" wrapText="1"/>
    </xf>
    <xf numFmtId="165" fontId="8" fillId="5" borderId="5" xfId="4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</cellXfs>
  <cellStyles count="5">
    <cellStyle name="Comma" xfId="4" builtinId="3"/>
    <cellStyle name="Hyperlink" xfId="1" builtinId="8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14-453E-9CB7-8879EDA7BF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14-453E-9CB7-8879EDA7BF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14-453E-9CB7-8879EDA7BF7E}"/>
              </c:ext>
            </c:extLst>
          </c:dPt>
          <c:cat>
            <c:multiLvlStrRef>
              <c:f>REKAP!$A$5:$C$7</c:f>
              <c:multiLvlStrCache>
                <c:ptCount val="3"/>
                <c:lvl>
                  <c:pt idx="0">
                    <c:v>:</c:v>
                  </c:pt>
                  <c:pt idx="1">
                    <c:v>:</c:v>
                  </c:pt>
                  <c:pt idx="2">
                    <c:v>:</c:v>
                  </c:pt>
                </c:lvl>
                <c:lvl>
                  <c:pt idx="0">
                    <c:v>TENDER</c:v>
                  </c:pt>
                  <c:pt idx="1">
                    <c:v>TENDER CEPAT</c:v>
                  </c:pt>
                  <c:pt idx="2">
                    <c:v>SELEKSI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REKAP!$D$5:$D$7</c:f>
              <c:numCache>
                <c:formatCode>General</c:formatCode>
                <c:ptCount val="3"/>
                <c:pt idx="0">
                  <c:v>159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A-4C28-B840-A6E5B5FC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E5-44C9-8E31-2398196300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E5-44C9-8E31-2398196300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E5-44C9-8E31-2398196300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E5-44C9-8E31-239819630062}"/>
              </c:ext>
            </c:extLst>
          </c:dPt>
          <c:cat>
            <c:multiLvlStrRef>
              <c:f>REKAP!$A$14:$C$17</c:f>
              <c:multiLvlStrCache>
                <c:ptCount val="4"/>
                <c:lvl>
                  <c:pt idx="0">
                    <c:v>:</c:v>
                  </c:pt>
                  <c:pt idx="1">
                    <c:v>:</c:v>
                  </c:pt>
                  <c:pt idx="2">
                    <c:v>:</c:v>
                  </c:pt>
                  <c:pt idx="3">
                    <c:v>:</c:v>
                  </c:pt>
                </c:lvl>
                <c:lvl>
                  <c:pt idx="0">
                    <c:v>Pengadaan Barang</c:v>
                  </c:pt>
                  <c:pt idx="1">
                    <c:v>Pekerjaan Konstruksi</c:v>
                  </c:pt>
                  <c:pt idx="2">
                    <c:v>Jasa Konsultansi</c:v>
                  </c:pt>
                  <c:pt idx="3">
                    <c:v>Jasa Lainnya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REKAP!$D$14:$D$17</c:f>
              <c:numCache>
                <c:formatCode>General</c:formatCode>
                <c:ptCount val="4"/>
                <c:pt idx="0">
                  <c:v>11</c:v>
                </c:pt>
                <c:pt idx="1">
                  <c:v>142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B0-4B4E-B6CE-6C76C2E1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6D-4483-B76A-88E2DEB912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6D-4483-B76A-88E2DEB912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6D-4483-B76A-88E2DEB91294}"/>
              </c:ext>
            </c:extLst>
          </c:dPt>
          <c:cat>
            <c:multiLvlStrRef>
              <c:f>REKAP!$A$24:$C$26</c:f>
              <c:multiLvlStrCache>
                <c:ptCount val="3"/>
                <c:lvl>
                  <c:pt idx="0">
                    <c:v>:</c:v>
                  </c:pt>
                  <c:pt idx="1">
                    <c:v>:</c:v>
                  </c:pt>
                  <c:pt idx="2">
                    <c:v>:</c:v>
                  </c:pt>
                </c:lvl>
                <c:lvl>
                  <c:pt idx="0">
                    <c:v>Belum Dilaksanakan</c:v>
                  </c:pt>
                  <c:pt idx="1">
                    <c:v>Proses</c:v>
                  </c:pt>
                  <c:pt idx="2">
                    <c:v>Sudah Selesai/Kontrak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REKAP!$D$24:$D$26</c:f>
              <c:numCache>
                <c:formatCode>General</c:formatCode>
                <c:ptCount val="3"/>
                <c:pt idx="0">
                  <c:v>160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9-453E-B878-00B4F24C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0</xdr:row>
      <xdr:rowOff>228600</xdr:rowOff>
    </xdr:from>
    <xdr:to>
      <xdr:col>13</xdr:col>
      <xdr:colOff>438150</xdr:colOff>
      <xdr:row>8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D56FDC5-9821-46D0-9C99-8DFCA0444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257174</xdr:colOff>
      <xdr:row>9</xdr:row>
      <xdr:rowOff>28575</xdr:rowOff>
    </xdr:from>
    <xdr:to>
      <xdr:col>13</xdr:col>
      <xdr:colOff>552449</xdr:colOff>
      <xdr:row>18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D789656C-823F-4232-9F79-F66E30B741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133350</xdr:colOff>
      <xdr:row>23</xdr:row>
      <xdr:rowOff>257175</xdr:rowOff>
    </xdr:from>
    <xdr:to>
      <xdr:col>14</xdr:col>
      <xdr:colOff>38100</xdr:colOff>
      <xdr:row>32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C92C4A5B-4FB0-44A4-92EB-19A6B8B61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sirup.lkpp.go.id/sirup/home/detailPaketPenyediaPublic2017/23408476" TargetMode="External"/><Relationship Id="rId117" Type="http://schemas.openxmlformats.org/officeDocument/2006/relationships/printerSettings" Target="../printerSettings/printerSettings2.bin"/><Relationship Id="rId21" Type="http://schemas.openxmlformats.org/officeDocument/2006/relationships/hyperlink" Target="https://sirup.lkpp.go.id/sirup/home/detailPaketPenyediaPublic2017/23405508" TargetMode="External"/><Relationship Id="rId42" Type="http://schemas.openxmlformats.org/officeDocument/2006/relationships/hyperlink" Target="https://sirup.lkpp.go.id/sirup/home/detailPaketPenyediaPublic2017/23428466" TargetMode="External"/><Relationship Id="rId47" Type="http://schemas.openxmlformats.org/officeDocument/2006/relationships/hyperlink" Target="https://sirup.lkpp.go.id/sirup/home/detailPaketPenyediaPublic2017/23429172" TargetMode="External"/><Relationship Id="rId63" Type="http://schemas.openxmlformats.org/officeDocument/2006/relationships/hyperlink" Target="https://sirup.lkpp.go.id/sirup/home/detailPaketPenyediaPublic2017/23514099" TargetMode="External"/><Relationship Id="rId68" Type="http://schemas.openxmlformats.org/officeDocument/2006/relationships/hyperlink" Target="https://sirup.lkpp.go.id/sirup/home/detailPaketPenyediaPublic2017/23527647" TargetMode="External"/><Relationship Id="rId84" Type="http://schemas.openxmlformats.org/officeDocument/2006/relationships/hyperlink" Target="https://sirup.lkpp.go.id/sirup/home/detailPaketPenyediaPublic2017/24332617" TargetMode="External"/><Relationship Id="rId89" Type="http://schemas.openxmlformats.org/officeDocument/2006/relationships/hyperlink" Target="https://sirup.lkpp.go.id/sirup/home/detailPaketPenyediaPublic2017/23473238" TargetMode="External"/><Relationship Id="rId112" Type="http://schemas.openxmlformats.org/officeDocument/2006/relationships/hyperlink" Target="https://sirup.lkpp.go.id/sirup/home/detailPaketPenyediaPublic2017/25182818" TargetMode="External"/><Relationship Id="rId16" Type="http://schemas.openxmlformats.org/officeDocument/2006/relationships/hyperlink" Target="https://sirup.lkpp.go.id/sirup/home/detailPaketPenyediaPublic2017/23404189" TargetMode="External"/><Relationship Id="rId107" Type="http://schemas.openxmlformats.org/officeDocument/2006/relationships/hyperlink" Target="https://sirup.lkpp.go.id/sirup/home/detailPaketPenyediaPublic2017/25181955" TargetMode="External"/><Relationship Id="rId11" Type="http://schemas.openxmlformats.org/officeDocument/2006/relationships/hyperlink" Target="https://sirup.lkpp.go.id/sirup/home/detailPaketPenyediaPublic2017/23403557" TargetMode="External"/><Relationship Id="rId24" Type="http://schemas.openxmlformats.org/officeDocument/2006/relationships/hyperlink" Target="https://sirup.lkpp.go.id/sirup/home/detailPaketPenyediaPublic2017/23406765" TargetMode="External"/><Relationship Id="rId32" Type="http://schemas.openxmlformats.org/officeDocument/2006/relationships/hyperlink" Target="https://sirup.lkpp.go.id/sirup/home/detailPaketPenyediaPublic2017/23409454" TargetMode="External"/><Relationship Id="rId37" Type="http://schemas.openxmlformats.org/officeDocument/2006/relationships/hyperlink" Target="https://sirup.lkpp.go.id/sirup/home/detailPaketPenyediaPublic2017/23425892" TargetMode="External"/><Relationship Id="rId40" Type="http://schemas.openxmlformats.org/officeDocument/2006/relationships/hyperlink" Target="https://sirup.lkpp.go.id/sirup/home/detailPaketPenyediaPublic2017/23426172" TargetMode="External"/><Relationship Id="rId45" Type="http://schemas.openxmlformats.org/officeDocument/2006/relationships/hyperlink" Target="https://sirup.lkpp.go.id/sirup/home/detailPaketPenyediaPublic2017/23429060" TargetMode="External"/><Relationship Id="rId53" Type="http://schemas.openxmlformats.org/officeDocument/2006/relationships/hyperlink" Target="https://sirup.lkpp.go.id/sirup/home/detailPaketPenyediaPublic2017/23436977" TargetMode="External"/><Relationship Id="rId58" Type="http://schemas.openxmlformats.org/officeDocument/2006/relationships/hyperlink" Target="https://sirup.lkpp.go.id/sirup/home/detailPaketPenyediaPublic2017/23438117" TargetMode="External"/><Relationship Id="rId66" Type="http://schemas.openxmlformats.org/officeDocument/2006/relationships/hyperlink" Target="https://sirup.lkpp.go.id/sirup/home/detailPaketPenyediaPublic2017/23520591" TargetMode="External"/><Relationship Id="rId74" Type="http://schemas.openxmlformats.org/officeDocument/2006/relationships/hyperlink" Target="https://sirup.lkpp.go.id/sirup/home/detailPaketPenyediaPublic2017/24322315" TargetMode="External"/><Relationship Id="rId79" Type="http://schemas.openxmlformats.org/officeDocument/2006/relationships/hyperlink" Target="https://sirup.lkpp.go.id/sirup/home/detailPaketPenyediaPublic2017/24329073" TargetMode="External"/><Relationship Id="rId87" Type="http://schemas.openxmlformats.org/officeDocument/2006/relationships/hyperlink" Target="https://sirup.lkpp.go.id/sirup/home/detailPaketPenyediaPublic2017/24329585" TargetMode="External"/><Relationship Id="rId102" Type="http://schemas.openxmlformats.org/officeDocument/2006/relationships/hyperlink" Target="https://sirup.lkpp.go.id/sirup/home/detailPaketPenyediaPublic2017/25184915" TargetMode="External"/><Relationship Id="rId110" Type="http://schemas.openxmlformats.org/officeDocument/2006/relationships/hyperlink" Target="https://sirup.lkpp.go.id/sirup/home/detailPaketPenyediaPublic2017/25182658" TargetMode="External"/><Relationship Id="rId115" Type="http://schemas.openxmlformats.org/officeDocument/2006/relationships/hyperlink" Target="https://sirup.lkpp.go.id/sirup/home/detailPaketPenyediaPublic2017/25183063" TargetMode="External"/><Relationship Id="rId5" Type="http://schemas.openxmlformats.org/officeDocument/2006/relationships/hyperlink" Target="https://sirup.lkpp.go.id/sirup/home/detailPaketPenyediaPublic2017/23398103" TargetMode="External"/><Relationship Id="rId61" Type="http://schemas.openxmlformats.org/officeDocument/2006/relationships/hyperlink" Target="https://sirup.lkpp.go.id/sirup/home/detailPaketPenyediaPublic2017/23438348" TargetMode="External"/><Relationship Id="rId82" Type="http://schemas.openxmlformats.org/officeDocument/2006/relationships/hyperlink" Target="https://sirup.lkpp.go.id/sirup/home/detailPaketPenyediaPublic2017/24332380" TargetMode="External"/><Relationship Id="rId90" Type="http://schemas.openxmlformats.org/officeDocument/2006/relationships/hyperlink" Target="https://sirup.lkpp.go.id/sirup/home/detailPaketPenyediaPublic2017/23468324" TargetMode="External"/><Relationship Id="rId95" Type="http://schemas.openxmlformats.org/officeDocument/2006/relationships/hyperlink" Target="https://sirup.lkpp.go.id/sirup/home/detailPaketPenyediaPublic2017/25140305" TargetMode="External"/><Relationship Id="rId19" Type="http://schemas.openxmlformats.org/officeDocument/2006/relationships/hyperlink" Target="https://sirup.lkpp.go.id/sirup/home/detailPaketPenyediaPublic2017/23405311" TargetMode="External"/><Relationship Id="rId14" Type="http://schemas.openxmlformats.org/officeDocument/2006/relationships/hyperlink" Target="https://sirup.lkpp.go.id/sirup/home/detailPaketPenyediaPublic2017/23403896" TargetMode="External"/><Relationship Id="rId22" Type="http://schemas.openxmlformats.org/officeDocument/2006/relationships/hyperlink" Target="https://sirup.lkpp.go.id/sirup/home/detailPaketPenyediaPublic2017/23405624" TargetMode="External"/><Relationship Id="rId27" Type="http://schemas.openxmlformats.org/officeDocument/2006/relationships/hyperlink" Target="https://sirup.lkpp.go.id/sirup/home/detailPaketPenyediaPublic2017/23408559" TargetMode="External"/><Relationship Id="rId30" Type="http://schemas.openxmlformats.org/officeDocument/2006/relationships/hyperlink" Target="https://sirup.lkpp.go.id/sirup/home/detailPaketPenyediaPublic2017/23409345" TargetMode="External"/><Relationship Id="rId35" Type="http://schemas.openxmlformats.org/officeDocument/2006/relationships/hyperlink" Target="https://sirup.lkpp.go.id/sirup/home/detailPaketPenyediaPublic2017/23425820" TargetMode="External"/><Relationship Id="rId43" Type="http://schemas.openxmlformats.org/officeDocument/2006/relationships/hyperlink" Target="https://sirup.lkpp.go.id/sirup/home/detailPaketPenyediaPublic2017/23428733" TargetMode="External"/><Relationship Id="rId48" Type="http://schemas.openxmlformats.org/officeDocument/2006/relationships/hyperlink" Target="https://sirup.lkpp.go.id/sirup/home/detailPaketPenyediaPublic2017/23431953" TargetMode="External"/><Relationship Id="rId56" Type="http://schemas.openxmlformats.org/officeDocument/2006/relationships/hyperlink" Target="https://sirup.lkpp.go.id/sirup/home/detailPaketPenyediaPublic2017/23437826" TargetMode="External"/><Relationship Id="rId64" Type="http://schemas.openxmlformats.org/officeDocument/2006/relationships/hyperlink" Target="https://sirup.lkpp.go.id/sirup/home/detailPaketPenyediaPublic2017/23520288" TargetMode="External"/><Relationship Id="rId69" Type="http://schemas.openxmlformats.org/officeDocument/2006/relationships/hyperlink" Target="https://sirup.lkpp.go.id/sirup/home/detailPaketPenyediaPublic2017/23527856" TargetMode="External"/><Relationship Id="rId77" Type="http://schemas.openxmlformats.org/officeDocument/2006/relationships/hyperlink" Target="https://sirup.lkpp.go.id/sirup/home/detailPaketPenyediaPublic2017/24327865" TargetMode="External"/><Relationship Id="rId100" Type="http://schemas.openxmlformats.org/officeDocument/2006/relationships/hyperlink" Target="https://sirup.lkpp.go.id/sirup/home/detailPaketPenyediaPublic2017/25180625" TargetMode="External"/><Relationship Id="rId105" Type="http://schemas.openxmlformats.org/officeDocument/2006/relationships/hyperlink" Target="https://sirup.lkpp.go.id/sirup/home/detailPaketPenyediaPublic2017/25185119" TargetMode="External"/><Relationship Id="rId113" Type="http://schemas.openxmlformats.org/officeDocument/2006/relationships/hyperlink" Target="https://sirup.lkpp.go.id/sirup/home/detailPaketPenyediaPublic2017/25182898" TargetMode="External"/><Relationship Id="rId8" Type="http://schemas.openxmlformats.org/officeDocument/2006/relationships/hyperlink" Target="https://sirup.lkpp.go.id/sirup/home/detailPaketPenyediaPublic2017/23403297" TargetMode="External"/><Relationship Id="rId51" Type="http://schemas.openxmlformats.org/officeDocument/2006/relationships/hyperlink" Target="https://sirup.lkpp.go.id/sirup/home/detailPaketPenyediaPublic2017/23436717" TargetMode="External"/><Relationship Id="rId72" Type="http://schemas.openxmlformats.org/officeDocument/2006/relationships/hyperlink" Target="https://sirup.lkpp.go.id/sirup/home/detailPaketPenyediaPublic2017/24236032" TargetMode="External"/><Relationship Id="rId80" Type="http://schemas.openxmlformats.org/officeDocument/2006/relationships/hyperlink" Target="https://sirup.lkpp.go.id/sirup/home/detailPaketPenyediaPublic2017/24330046" TargetMode="External"/><Relationship Id="rId85" Type="http://schemas.openxmlformats.org/officeDocument/2006/relationships/hyperlink" Target="https://sirup.lkpp.go.id/sirup/home/detailPaketPenyediaPublic2017/24332814" TargetMode="External"/><Relationship Id="rId93" Type="http://schemas.openxmlformats.org/officeDocument/2006/relationships/hyperlink" Target="https://sirup.lkpp.go.id/sirup/home/detailPaketPenyediaPublic2017/25140305" TargetMode="External"/><Relationship Id="rId98" Type="http://schemas.openxmlformats.org/officeDocument/2006/relationships/hyperlink" Target="https://sirup.lkpp.go.id/sirup/home/detailPaketPenyediaPublic2017/25180203" TargetMode="External"/><Relationship Id="rId3" Type="http://schemas.openxmlformats.org/officeDocument/2006/relationships/hyperlink" Target="https://sirup.lkpp.go.id/sirup/home/detailPaketPenyediaPublic2017/23395175" TargetMode="External"/><Relationship Id="rId12" Type="http://schemas.openxmlformats.org/officeDocument/2006/relationships/hyperlink" Target="https://sirup.lkpp.go.id/sirup/home/detailPaketPenyediaPublic2017/23403775" TargetMode="External"/><Relationship Id="rId17" Type="http://schemas.openxmlformats.org/officeDocument/2006/relationships/hyperlink" Target="https://sirup.lkpp.go.id/sirup/home/detailPaketPenyediaPublic2017/23404529" TargetMode="External"/><Relationship Id="rId25" Type="http://schemas.openxmlformats.org/officeDocument/2006/relationships/hyperlink" Target="https://sirup.lkpp.go.id/sirup/home/detailPaketPenyediaPublic2017/23407162" TargetMode="External"/><Relationship Id="rId33" Type="http://schemas.openxmlformats.org/officeDocument/2006/relationships/hyperlink" Target="https://sirup.lkpp.go.id/sirup/home/detailPaketPenyediaPublic2017/23414913" TargetMode="External"/><Relationship Id="rId38" Type="http://schemas.openxmlformats.org/officeDocument/2006/relationships/hyperlink" Target="https://sirup.lkpp.go.id/sirup/home/detailPaketPenyediaPublic2017/23425928" TargetMode="External"/><Relationship Id="rId46" Type="http://schemas.openxmlformats.org/officeDocument/2006/relationships/hyperlink" Target="https://sirup.lkpp.go.id/sirup/home/detailPaketPenyediaPublic2017/23429111" TargetMode="External"/><Relationship Id="rId59" Type="http://schemas.openxmlformats.org/officeDocument/2006/relationships/hyperlink" Target="https://sirup.lkpp.go.id/sirup/home/detailPaketPenyediaPublic2017/23438200" TargetMode="External"/><Relationship Id="rId67" Type="http://schemas.openxmlformats.org/officeDocument/2006/relationships/hyperlink" Target="https://sirup.lkpp.go.id/sirup/home/detailPaketPenyediaPublic2017/23520826" TargetMode="External"/><Relationship Id="rId103" Type="http://schemas.openxmlformats.org/officeDocument/2006/relationships/hyperlink" Target="https://sirup.lkpp.go.id/sirup/home/detailPaketPenyediaPublic2017/25184985" TargetMode="External"/><Relationship Id="rId108" Type="http://schemas.openxmlformats.org/officeDocument/2006/relationships/hyperlink" Target="https://sirup.lkpp.go.id/sirup/home/detailPaketPenyediaPublic2017/25182117" TargetMode="External"/><Relationship Id="rId116" Type="http://schemas.openxmlformats.org/officeDocument/2006/relationships/hyperlink" Target="https://sirup.lkpp.go.id/sirup/home/detailPaketPenyediaPublic2017/25183149" TargetMode="External"/><Relationship Id="rId20" Type="http://schemas.openxmlformats.org/officeDocument/2006/relationships/hyperlink" Target="https://sirup.lkpp.go.id/sirup/home/detailPaketPenyediaPublic2017/23405385" TargetMode="External"/><Relationship Id="rId41" Type="http://schemas.openxmlformats.org/officeDocument/2006/relationships/hyperlink" Target="https://sirup.lkpp.go.id/sirup/home/detailPaketPenyediaPublic2017/23426615" TargetMode="External"/><Relationship Id="rId54" Type="http://schemas.openxmlformats.org/officeDocument/2006/relationships/hyperlink" Target="https://sirup.lkpp.go.id/sirup/home/detailPaketPenyediaPublic2017/23437170" TargetMode="External"/><Relationship Id="rId62" Type="http://schemas.openxmlformats.org/officeDocument/2006/relationships/hyperlink" Target="https://sirup.lkpp.go.id/sirup/home/detailPaketPenyediaPublic2017/23513838" TargetMode="External"/><Relationship Id="rId70" Type="http://schemas.openxmlformats.org/officeDocument/2006/relationships/hyperlink" Target="https://sirup.lkpp.go.id/sirup/home/detailPaketPenyediaPublic2017/23528132" TargetMode="External"/><Relationship Id="rId75" Type="http://schemas.openxmlformats.org/officeDocument/2006/relationships/hyperlink" Target="https://sirup.lkpp.go.id/sirup/home/detailPaketPenyediaPublic2017/24327084" TargetMode="External"/><Relationship Id="rId83" Type="http://schemas.openxmlformats.org/officeDocument/2006/relationships/hyperlink" Target="https://sirup.lkpp.go.id/sirup/home/detailPaketPenyediaPublic2017/24332482" TargetMode="External"/><Relationship Id="rId88" Type="http://schemas.openxmlformats.org/officeDocument/2006/relationships/hyperlink" Target="https://sirup.lkpp.go.id/sirup/home/detailPaketPenyediaPublic2017/24210063" TargetMode="External"/><Relationship Id="rId91" Type="http://schemas.openxmlformats.org/officeDocument/2006/relationships/hyperlink" Target="https://sirup.lkpp.go.id/sirup/home/detailPaketPenyediaPublic2017/23436729" TargetMode="External"/><Relationship Id="rId96" Type="http://schemas.openxmlformats.org/officeDocument/2006/relationships/hyperlink" Target="https://sirup.lkpp.go.id/sirup/home/detailPaketPenyediaPublic2017/25140464" TargetMode="External"/><Relationship Id="rId111" Type="http://schemas.openxmlformats.org/officeDocument/2006/relationships/hyperlink" Target="https://sirup.lkpp.go.id/sirup/home/detailPaketPenyediaPublic2017/25182721" TargetMode="External"/><Relationship Id="rId1" Type="http://schemas.openxmlformats.org/officeDocument/2006/relationships/hyperlink" Target="https://sirup.lkpp.go.id/sirup/home/detailPaketPenyediaPublic2017/23394748" TargetMode="External"/><Relationship Id="rId6" Type="http://schemas.openxmlformats.org/officeDocument/2006/relationships/hyperlink" Target="https://sirup.lkpp.go.id/sirup/home/detailPaketPenyediaPublic2017/23402805" TargetMode="External"/><Relationship Id="rId15" Type="http://schemas.openxmlformats.org/officeDocument/2006/relationships/hyperlink" Target="https://sirup.lkpp.go.id/sirup/home/detailPaketPenyediaPublic2017/23404093" TargetMode="External"/><Relationship Id="rId23" Type="http://schemas.openxmlformats.org/officeDocument/2006/relationships/hyperlink" Target="https://sirup.lkpp.go.id/sirup/home/detailPaketPenyediaPublic2017/23405896" TargetMode="External"/><Relationship Id="rId28" Type="http://schemas.openxmlformats.org/officeDocument/2006/relationships/hyperlink" Target="https://sirup.lkpp.go.id/sirup/home/detailPaketPenyediaPublic2017/23409108" TargetMode="External"/><Relationship Id="rId36" Type="http://schemas.openxmlformats.org/officeDocument/2006/relationships/hyperlink" Target="https://sirup.lkpp.go.id/sirup/home/detailPaketPenyediaPublic2017/23425863" TargetMode="External"/><Relationship Id="rId49" Type="http://schemas.openxmlformats.org/officeDocument/2006/relationships/hyperlink" Target="https://sirup.lkpp.go.id/sirup/home/detailPaketPenyediaPublic2017/23432521" TargetMode="External"/><Relationship Id="rId57" Type="http://schemas.openxmlformats.org/officeDocument/2006/relationships/hyperlink" Target="https://sirup.lkpp.go.id/sirup/home/detailPaketPenyediaPublic2017/23437889" TargetMode="External"/><Relationship Id="rId106" Type="http://schemas.openxmlformats.org/officeDocument/2006/relationships/hyperlink" Target="https://sirup.lkpp.go.id/sirup/home/detailPaketPenyediaPublic2017/25181781" TargetMode="External"/><Relationship Id="rId114" Type="http://schemas.openxmlformats.org/officeDocument/2006/relationships/hyperlink" Target="https://sirup.lkpp.go.id/sirup/home/detailPaketPenyediaPublic2017/25182970" TargetMode="External"/><Relationship Id="rId10" Type="http://schemas.openxmlformats.org/officeDocument/2006/relationships/hyperlink" Target="https://sirup.lkpp.go.id/sirup/home/detailPaketPenyediaPublic2017/23403481" TargetMode="External"/><Relationship Id="rId31" Type="http://schemas.openxmlformats.org/officeDocument/2006/relationships/hyperlink" Target="https://sirup.lkpp.go.id/sirup/home/detailPaketPenyediaPublic2017/23409392" TargetMode="External"/><Relationship Id="rId44" Type="http://schemas.openxmlformats.org/officeDocument/2006/relationships/hyperlink" Target="https://sirup.lkpp.go.id/sirup/home/detailPaketPenyediaPublic2017/23428823" TargetMode="External"/><Relationship Id="rId52" Type="http://schemas.openxmlformats.org/officeDocument/2006/relationships/hyperlink" Target="https://sirup.lkpp.go.id/sirup/home/detailPaketPenyediaPublic2017/23436860" TargetMode="External"/><Relationship Id="rId60" Type="http://schemas.openxmlformats.org/officeDocument/2006/relationships/hyperlink" Target="https://sirup.lkpp.go.id/sirup/home/detailPaketPenyediaPublic2017/23438280" TargetMode="External"/><Relationship Id="rId65" Type="http://schemas.openxmlformats.org/officeDocument/2006/relationships/hyperlink" Target="https://sirup.lkpp.go.id/sirup/home/detailPaketPenyediaPublic2017/23520521" TargetMode="External"/><Relationship Id="rId73" Type="http://schemas.openxmlformats.org/officeDocument/2006/relationships/hyperlink" Target="https://sirup.lkpp.go.id/sirup/home/detailPaketPenyediaPublic2017/24321386" TargetMode="External"/><Relationship Id="rId78" Type="http://schemas.openxmlformats.org/officeDocument/2006/relationships/hyperlink" Target="https://sirup.lkpp.go.id/sirup/home/detailPaketPenyediaPublic2017/24328236" TargetMode="External"/><Relationship Id="rId81" Type="http://schemas.openxmlformats.org/officeDocument/2006/relationships/hyperlink" Target="https://sirup.lkpp.go.id/sirup/home/detailPaketPenyediaPublic2017/24330671" TargetMode="External"/><Relationship Id="rId86" Type="http://schemas.openxmlformats.org/officeDocument/2006/relationships/hyperlink" Target="https://sirup.lkpp.go.id/sirup/home/detailPaketPenyediaPublic2017/23435794" TargetMode="External"/><Relationship Id="rId94" Type="http://schemas.openxmlformats.org/officeDocument/2006/relationships/hyperlink" Target="https://sirup.lkpp.go.id/sirup/home/detailPaketPenyediaPublic2017/25140464" TargetMode="External"/><Relationship Id="rId99" Type="http://schemas.openxmlformats.org/officeDocument/2006/relationships/hyperlink" Target="https://sirup.lkpp.go.id/sirup/home/detailPaketPenyediaPublic2017/25180329" TargetMode="External"/><Relationship Id="rId101" Type="http://schemas.openxmlformats.org/officeDocument/2006/relationships/hyperlink" Target="https://sirup.lkpp.go.id/sirup/home/detailPaketPenyediaPublic2017/25180751" TargetMode="External"/><Relationship Id="rId4" Type="http://schemas.openxmlformats.org/officeDocument/2006/relationships/hyperlink" Target="https://sirup.lkpp.go.id/sirup/home/detailPaketPenyediaPublic2017/23395470" TargetMode="External"/><Relationship Id="rId9" Type="http://schemas.openxmlformats.org/officeDocument/2006/relationships/hyperlink" Target="https://sirup.lkpp.go.id/sirup/home/detailPaketPenyediaPublic2017/23403385" TargetMode="External"/><Relationship Id="rId13" Type="http://schemas.openxmlformats.org/officeDocument/2006/relationships/hyperlink" Target="https://sirup.lkpp.go.id/sirup/home/detailPaketPenyediaPublic2017/23403829" TargetMode="External"/><Relationship Id="rId18" Type="http://schemas.openxmlformats.org/officeDocument/2006/relationships/hyperlink" Target="https://sirup.lkpp.go.id/sirup/home/detailPaketPenyediaPublic2017/23404768" TargetMode="External"/><Relationship Id="rId39" Type="http://schemas.openxmlformats.org/officeDocument/2006/relationships/hyperlink" Target="https://sirup.lkpp.go.id/sirup/home/detailPaketPenyediaPublic2017/23426044" TargetMode="External"/><Relationship Id="rId109" Type="http://schemas.openxmlformats.org/officeDocument/2006/relationships/hyperlink" Target="https://sirup.lkpp.go.id/sirup/home/detailPaketPenyediaPublic2017/25182314" TargetMode="External"/><Relationship Id="rId34" Type="http://schemas.openxmlformats.org/officeDocument/2006/relationships/hyperlink" Target="https://sirup.lkpp.go.id/sirup/home/detailPaketPenyediaPublic2017/23425761" TargetMode="External"/><Relationship Id="rId50" Type="http://schemas.openxmlformats.org/officeDocument/2006/relationships/hyperlink" Target="https://sirup.lkpp.go.id/sirup/home/detailPaketPenyediaPublic2017/23433680" TargetMode="External"/><Relationship Id="rId55" Type="http://schemas.openxmlformats.org/officeDocument/2006/relationships/hyperlink" Target="https://sirup.lkpp.go.id/sirup/home/detailPaketPenyediaPublic2017/23437723" TargetMode="External"/><Relationship Id="rId76" Type="http://schemas.openxmlformats.org/officeDocument/2006/relationships/hyperlink" Target="https://sirup.lkpp.go.id/sirup/home/detailPaketPenyediaPublic2017/24327754" TargetMode="External"/><Relationship Id="rId97" Type="http://schemas.openxmlformats.org/officeDocument/2006/relationships/hyperlink" Target="https://sirup.lkpp.go.id/sirup/home/detailPaketPenyediaPublic2017/25136185" TargetMode="External"/><Relationship Id="rId104" Type="http://schemas.openxmlformats.org/officeDocument/2006/relationships/hyperlink" Target="https://sirup.lkpp.go.id/sirup/home/detailPaketPenyediaPublic2017/25185071" TargetMode="External"/><Relationship Id="rId7" Type="http://schemas.openxmlformats.org/officeDocument/2006/relationships/hyperlink" Target="https://sirup.lkpp.go.id/sirup/home/detailPaketPenyediaPublic2017/23403206" TargetMode="External"/><Relationship Id="rId71" Type="http://schemas.openxmlformats.org/officeDocument/2006/relationships/hyperlink" Target="https://sirup.lkpp.go.id/sirup/home/detailPaketPenyediaPublic2017/23529840" TargetMode="External"/><Relationship Id="rId92" Type="http://schemas.openxmlformats.org/officeDocument/2006/relationships/hyperlink" Target="https://sirup.lkpp.go.id/sirup/home/detailPaketPenyediaPublic2017/25057031" TargetMode="External"/><Relationship Id="rId2" Type="http://schemas.openxmlformats.org/officeDocument/2006/relationships/hyperlink" Target="https://sirup.lkpp.go.id/sirup/home/detailPaketPenyediaPublic2017/23395036" TargetMode="External"/><Relationship Id="rId29" Type="http://schemas.openxmlformats.org/officeDocument/2006/relationships/hyperlink" Target="https://sirup.lkpp.go.id/sirup/home/detailPaketPenyediaPublic2017/234092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8" workbookViewId="0">
      <selection activeCell="E41" sqref="E41"/>
    </sheetView>
  </sheetViews>
  <sheetFormatPr defaultColWidth="9.1796875" defaultRowHeight="18.5" x14ac:dyDescent="0.35"/>
  <cols>
    <col min="1" max="1" width="7" style="19" customWidth="1"/>
    <col min="2" max="2" width="25.453125" style="18" customWidth="1"/>
    <col min="3" max="3" width="3.7265625" style="19" customWidth="1"/>
    <col min="4" max="4" width="11.1796875" style="18" customWidth="1"/>
    <col min="5" max="5" width="13.26953125" style="18" customWidth="1"/>
    <col min="6" max="6" width="21.1796875" style="18" customWidth="1"/>
    <col min="7" max="7" width="20.7265625" style="18" customWidth="1"/>
    <col min="8" max="16384" width="9.1796875" style="18"/>
  </cols>
  <sheetData>
    <row r="1" spans="1:7" ht="18.75" x14ac:dyDescent="0.25">
      <c r="A1" s="16"/>
      <c r="B1" s="1"/>
      <c r="C1" s="16"/>
      <c r="D1" s="1"/>
      <c r="E1" s="1"/>
      <c r="F1" s="1"/>
      <c r="G1" s="1"/>
    </row>
    <row r="2" spans="1:7" ht="24" customHeight="1" x14ac:dyDescent="0.25">
      <c r="A2" s="162" t="s">
        <v>206</v>
      </c>
      <c r="B2" s="162"/>
      <c r="C2" s="162"/>
      <c r="D2" s="162"/>
      <c r="E2" s="162"/>
      <c r="F2" s="162"/>
      <c r="G2" s="162"/>
    </row>
    <row r="3" spans="1:7" ht="17.25" customHeight="1" thickBot="1" x14ac:dyDescent="0.3">
      <c r="A3" s="16"/>
      <c r="B3" s="1"/>
      <c r="C3" s="16"/>
      <c r="D3" s="1"/>
      <c r="E3" s="1"/>
      <c r="F3" s="1"/>
      <c r="G3" s="1"/>
    </row>
    <row r="4" spans="1:7" ht="51.75" customHeight="1" thickTop="1" thickBot="1" x14ac:dyDescent="0.3">
      <c r="A4" s="52" t="s">
        <v>164</v>
      </c>
      <c r="B4" s="52" t="s">
        <v>166</v>
      </c>
      <c r="C4" s="52"/>
      <c r="D4" s="52" t="s">
        <v>218</v>
      </c>
      <c r="E4" s="52" t="s">
        <v>219</v>
      </c>
      <c r="F4" s="166" t="s">
        <v>224</v>
      </c>
      <c r="G4" s="167"/>
    </row>
    <row r="5" spans="1:7" ht="27" customHeight="1" thickTop="1" thickBot="1" x14ac:dyDescent="0.3">
      <c r="A5" s="20">
        <v>1</v>
      </c>
      <c r="B5" s="21" t="s">
        <v>172</v>
      </c>
      <c r="C5" s="20" t="s">
        <v>177</v>
      </c>
      <c r="D5" s="21">
        <f>COUNTIF(MASTER!G7:G1025,"TENDER")</f>
        <v>159</v>
      </c>
      <c r="E5" s="49">
        <f>(D5/D8)</f>
        <v>0.90857142857142859</v>
      </c>
      <c r="F5" s="164">
        <f>SUMIF(MASTER!G7:G1016,"Tender",MASTER!F7:F1016)</f>
        <v>216503457000</v>
      </c>
      <c r="G5" s="165"/>
    </row>
    <row r="6" spans="1:7" ht="27" customHeight="1" thickTop="1" thickBot="1" x14ac:dyDescent="0.3">
      <c r="A6" s="20">
        <v>2</v>
      </c>
      <c r="B6" s="21" t="s">
        <v>173</v>
      </c>
      <c r="C6" s="20" t="s">
        <v>177</v>
      </c>
      <c r="D6" s="21">
        <f>COUNTIF(MASTER!G7:G1025,"TENDER CEPAT")</f>
        <v>9</v>
      </c>
      <c r="E6" s="49">
        <f>(D6/D8)</f>
        <v>5.1428571428571428E-2</v>
      </c>
      <c r="F6" s="164">
        <f>SUMIF(MASTER!G7:G1016,"Tender Cepat",MASTER!F7:F1016)</f>
        <v>4817999000</v>
      </c>
      <c r="G6" s="165"/>
    </row>
    <row r="7" spans="1:7" ht="27" customHeight="1" thickTop="1" thickBot="1" x14ac:dyDescent="0.3">
      <c r="A7" s="20">
        <v>3</v>
      </c>
      <c r="B7" s="21" t="s">
        <v>174</v>
      </c>
      <c r="C7" s="20" t="s">
        <v>177</v>
      </c>
      <c r="D7" s="21">
        <f>COUNTIF(MASTER!G7:G1025,"SELEKSI")</f>
        <v>7</v>
      </c>
      <c r="E7" s="49">
        <f>(D7/D8)</f>
        <v>0.04</v>
      </c>
      <c r="F7" s="164">
        <f>SUMIF(MASTER!G7:G1016,"Seleksi",MASTER!F7:F1016)</f>
        <v>1655000000</v>
      </c>
      <c r="G7" s="165"/>
    </row>
    <row r="8" spans="1:7" ht="27" customHeight="1" thickTop="1" thickBot="1" x14ac:dyDescent="0.3">
      <c r="A8" s="31"/>
      <c r="B8" s="32" t="s">
        <v>178</v>
      </c>
      <c r="C8" s="31" t="s">
        <v>177</v>
      </c>
      <c r="D8" s="32">
        <f>SUM(D5:D7)</f>
        <v>175</v>
      </c>
      <c r="E8" s="50">
        <f>SUM(E5:E7)</f>
        <v>1</v>
      </c>
      <c r="F8" s="171">
        <f>SUM(F5:F7)</f>
        <v>222976456000</v>
      </c>
      <c r="G8" s="172"/>
    </row>
    <row r="9" spans="1:7" ht="19.5" thickTop="1" x14ac:dyDescent="0.25">
      <c r="A9" s="16"/>
      <c r="B9" s="1"/>
      <c r="C9" s="16"/>
      <c r="D9" s="1"/>
      <c r="E9" s="1"/>
      <c r="F9" s="1"/>
      <c r="G9" s="1"/>
    </row>
    <row r="10" spans="1:7" ht="18.75" x14ac:dyDescent="0.25">
      <c r="A10" s="16"/>
      <c r="B10" s="1"/>
      <c r="C10" s="16"/>
      <c r="D10" s="1"/>
      <c r="E10" s="1"/>
      <c r="F10" s="1"/>
      <c r="G10" s="1"/>
    </row>
    <row r="11" spans="1:7" ht="24" customHeight="1" x14ac:dyDescent="0.25">
      <c r="A11" s="163" t="s">
        <v>186</v>
      </c>
      <c r="B11" s="163"/>
      <c r="C11" s="163"/>
      <c r="D11" s="163"/>
      <c r="E11" s="163"/>
      <c r="F11" s="163"/>
      <c r="G11" s="163"/>
    </row>
    <row r="12" spans="1:7" ht="19.5" thickBot="1" x14ac:dyDescent="0.3">
      <c r="A12" s="16"/>
      <c r="B12" s="1"/>
      <c r="C12" s="16"/>
      <c r="D12" s="1"/>
      <c r="E12" s="1"/>
      <c r="F12" s="1"/>
      <c r="G12" s="1"/>
    </row>
    <row r="13" spans="1:7" ht="32.25" customHeight="1" thickTop="1" thickBot="1" x14ac:dyDescent="0.3">
      <c r="A13" s="22" t="s">
        <v>164</v>
      </c>
      <c r="B13" s="22" t="s">
        <v>162</v>
      </c>
      <c r="C13" s="22"/>
      <c r="D13" s="22" t="s">
        <v>218</v>
      </c>
      <c r="E13" s="22" t="s">
        <v>219</v>
      </c>
      <c r="F13" s="168" t="s">
        <v>225</v>
      </c>
      <c r="G13" s="169"/>
    </row>
    <row r="14" spans="1:7" ht="26.25" customHeight="1" thickTop="1" thickBot="1" x14ac:dyDescent="0.3">
      <c r="A14" s="20">
        <v>1</v>
      </c>
      <c r="B14" s="21" t="s">
        <v>175</v>
      </c>
      <c r="C14" s="20" t="s">
        <v>177</v>
      </c>
      <c r="D14" s="21">
        <f>COUNTIF(MASTER!H7:H1025,"Barang")</f>
        <v>11</v>
      </c>
      <c r="E14" s="49">
        <f>D14/D18</f>
        <v>6.2857142857142861E-2</v>
      </c>
      <c r="F14" s="164">
        <f>SUMIF(MASTER!H7:H1016,"Barang",MASTER!F7:F1016)</f>
        <v>9954173000</v>
      </c>
      <c r="G14" s="165"/>
    </row>
    <row r="15" spans="1:7" ht="26.25" customHeight="1" thickTop="1" thickBot="1" x14ac:dyDescent="0.3">
      <c r="A15" s="20">
        <v>2</v>
      </c>
      <c r="B15" s="21" t="s">
        <v>4</v>
      </c>
      <c r="C15" s="20" t="s">
        <v>177</v>
      </c>
      <c r="D15" s="21">
        <f>COUNTIF(MASTER!H7:H1025,"Konstruksi")</f>
        <v>142</v>
      </c>
      <c r="E15" s="49">
        <f>D15/D18</f>
        <v>0.81142857142857139</v>
      </c>
      <c r="F15" s="164">
        <f>SUMIF(MASTER!H7:H1016,"Konstruksi",MASTER!F7:F1016)</f>
        <v>193525347000</v>
      </c>
      <c r="G15" s="165"/>
    </row>
    <row r="16" spans="1:7" ht="26.25" customHeight="1" thickTop="1" thickBot="1" x14ac:dyDescent="0.3">
      <c r="A16" s="20">
        <v>3</v>
      </c>
      <c r="B16" s="21" t="s">
        <v>176</v>
      </c>
      <c r="C16" s="20" t="s">
        <v>177</v>
      </c>
      <c r="D16" s="21">
        <f>COUNTIF(MASTER!H7:H1025,"Jasa Konsultansi")</f>
        <v>9</v>
      </c>
      <c r="E16" s="49">
        <f>D16/D18</f>
        <v>5.1428571428571428E-2</v>
      </c>
      <c r="F16" s="164">
        <f>SUMIF(MASTER!H7:H1016,"Jasa Konsultansi",MASTER!F7:F1016)</f>
        <v>1903600000</v>
      </c>
      <c r="G16" s="165"/>
    </row>
    <row r="17" spans="1:7" ht="26.25" customHeight="1" thickTop="1" thickBot="1" x14ac:dyDescent="0.3">
      <c r="A17" s="20">
        <v>4</v>
      </c>
      <c r="B17" s="21" t="s">
        <v>15</v>
      </c>
      <c r="C17" s="20" t="s">
        <v>177</v>
      </c>
      <c r="D17" s="21">
        <f>COUNTIF(MASTER!H7:H1025,"Jasa Lainnya")</f>
        <v>13</v>
      </c>
      <c r="E17" s="49">
        <f>D17/D18</f>
        <v>7.4285714285714288E-2</v>
      </c>
      <c r="F17" s="164">
        <f>SUMIF(MASTER!H7:H1016,"Jasa Lainnya",MASTER!F7:F1016)</f>
        <v>17593336000</v>
      </c>
      <c r="G17" s="165"/>
    </row>
    <row r="18" spans="1:7" ht="26.25" customHeight="1" thickTop="1" thickBot="1" x14ac:dyDescent="0.3">
      <c r="A18" s="31"/>
      <c r="B18" s="32" t="s">
        <v>179</v>
      </c>
      <c r="C18" s="31"/>
      <c r="D18" s="32">
        <f>SUM(D14:D17)</f>
        <v>175</v>
      </c>
      <c r="E18" s="50">
        <f>SUM(E14:E17)</f>
        <v>0.99999999999999989</v>
      </c>
      <c r="F18" s="171">
        <f>SUM(F14:F17)</f>
        <v>222976456000</v>
      </c>
      <c r="G18" s="172"/>
    </row>
    <row r="19" spans="1:7" ht="19.5" thickTop="1" x14ac:dyDescent="0.25">
      <c r="A19" s="16"/>
      <c r="B19" s="1"/>
      <c r="C19" s="16"/>
      <c r="D19" s="1"/>
      <c r="E19" s="1"/>
      <c r="F19" s="1"/>
      <c r="G19" s="1"/>
    </row>
    <row r="20" spans="1:7" ht="18.75" x14ac:dyDescent="0.25">
      <c r="A20" s="16"/>
      <c r="B20" s="1"/>
      <c r="C20" s="16"/>
      <c r="D20" s="1"/>
      <c r="E20" s="1"/>
      <c r="F20" s="1"/>
      <c r="G20" s="1"/>
    </row>
    <row r="21" spans="1:7" x14ac:dyDescent="0.35">
      <c r="A21" s="170" t="s">
        <v>187</v>
      </c>
      <c r="B21" s="170"/>
      <c r="C21" s="170"/>
      <c r="D21" s="170"/>
      <c r="E21" s="170"/>
      <c r="F21" s="170"/>
      <c r="G21" s="170"/>
    </row>
    <row r="22" spans="1:7" ht="19" thickBot="1" x14ac:dyDescent="0.4">
      <c r="A22" s="16"/>
      <c r="B22" s="1"/>
      <c r="C22" s="16"/>
      <c r="D22" s="1"/>
      <c r="E22" s="1"/>
      <c r="F22" s="1"/>
      <c r="G22" s="1"/>
    </row>
    <row r="23" spans="1:7" ht="32" thickTop="1" thickBot="1" x14ac:dyDescent="0.4">
      <c r="A23" s="23" t="s">
        <v>164</v>
      </c>
      <c r="B23" s="23" t="s">
        <v>162</v>
      </c>
      <c r="C23" s="23"/>
      <c r="D23" s="23" t="s">
        <v>218</v>
      </c>
      <c r="E23" s="23" t="s">
        <v>219</v>
      </c>
      <c r="F23" s="53" t="s">
        <v>224</v>
      </c>
      <c r="G23" s="53" t="s">
        <v>183</v>
      </c>
    </row>
    <row r="24" spans="1:7" ht="31.5" customHeight="1" thickTop="1" thickBot="1" x14ac:dyDescent="0.4">
      <c r="A24" s="20">
        <v>1</v>
      </c>
      <c r="B24" s="21" t="s">
        <v>188</v>
      </c>
      <c r="C24" s="20" t="s">
        <v>177</v>
      </c>
      <c r="D24" s="21">
        <f>COUNTIF(MASTER!N6:N1018,"Belum")</f>
        <v>160</v>
      </c>
      <c r="E24" s="49">
        <f>D24/D27</f>
        <v>0.91428571428571426</v>
      </c>
      <c r="F24" s="68">
        <f>SUMIF(MASTER!N7:N1014,"BELUM",MASTER!F7:F1018)</f>
        <v>210982610000</v>
      </c>
      <c r="G24" s="68">
        <v>0</v>
      </c>
    </row>
    <row r="25" spans="1:7" ht="31.5" customHeight="1" thickTop="1" thickBot="1" x14ac:dyDescent="0.4">
      <c r="A25" s="20">
        <v>2</v>
      </c>
      <c r="B25" s="21" t="s">
        <v>189</v>
      </c>
      <c r="C25" s="20" t="s">
        <v>177</v>
      </c>
      <c r="D25" s="21">
        <f>COUNTIF(MASTER!H6:N1018,"Proses")</f>
        <v>7</v>
      </c>
      <c r="E25" s="49">
        <f>D25/D27</f>
        <v>0.04</v>
      </c>
      <c r="F25" s="68">
        <f>SUMIF(MASTER!N7:N1014,"PROSES",MASTER!F7:F1018)</f>
        <v>3819650000</v>
      </c>
      <c r="G25" s="68">
        <v>0</v>
      </c>
    </row>
    <row r="26" spans="1:7" ht="31.5" customHeight="1" thickTop="1" thickBot="1" x14ac:dyDescent="0.4">
      <c r="A26" s="20">
        <v>3</v>
      </c>
      <c r="B26" s="21" t="s">
        <v>190</v>
      </c>
      <c r="C26" s="20" t="s">
        <v>177</v>
      </c>
      <c r="D26" s="21">
        <f>COUNTIF(MASTER!N6:N1018,"Kontrak")</f>
        <v>8</v>
      </c>
      <c r="E26" s="49">
        <f>D26/D27</f>
        <v>4.5714285714285714E-2</v>
      </c>
      <c r="F26" s="68">
        <f>SUMIF(MASTER!N7:N1014,"KONTRAK",MASTER!F7:F1018)</f>
        <v>8174196000</v>
      </c>
      <c r="G26" s="68">
        <f>SUMIF(MASTER!N7:N1014,"KONTRAK",MASTER!L7:L1018)</f>
        <v>6635879149.2399998</v>
      </c>
    </row>
    <row r="27" spans="1:7" ht="31.5" customHeight="1" thickTop="1" thickBot="1" x14ac:dyDescent="0.4">
      <c r="A27" s="31"/>
      <c r="B27" s="32" t="s">
        <v>179</v>
      </c>
      <c r="C27" s="31"/>
      <c r="D27" s="51">
        <f>SUM(D24:D26)</f>
        <v>175</v>
      </c>
      <c r="E27" s="50">
        <f>SUM(E24:E26)</f>
        <v>1</v>
      </c>
      <c r="F27" s="69">
        <f>SUM(F24:F26)</f>
        <v>222976456000</v>
      </c>
      <c r="G27" s="69">
        <f>SUM(G24:G26)</f>
        <v>6635879149.2399998</v>
      </c>
    </row>
    <row r="28" spans="1:7" ht="19" thickTop="1" x14ac:dyDescent="0.35">
      <c r="F28" s="33"/>
      <c r="G28" s="135"/>
    </row>
    <row r="30" spans="1:7" x14ac:dyDescent="0.35">
      <c r="A30" s="170" t="s">
        <v>187</v>
      </c>
      <c r="B30" s="170"/>
      <c r="C30" s="170"/>
      <c r="D30" s="170"/>
      <c r="E30" s="170"/>
      <c r="F30" s="170"/>
      <c r="G30" s="170"/>
    </row>
    <row r="31" spans="1:7" ht="19" thickBot="1" x14ac:dyDescent="0.4">
      <c r="A31" s="16"/>
      <c r="B31" s="1"/>
      <c r="C31" s="16"/>
      <c r="D31" s="1"/>
      <c r="E31" s="1"/>
      <c r="F31" s="1"/>
      <c r="G31" s="1"/>
    </row>
    <row r="32" spans="1:7" ht="19.5" thickTop="1" thickBot="1" x14ac:dyDescent="0.4">
      <c r="A32" s="23" t="s">
        <v>164</v>
      </c>
      <c r="B32" s="23" t="s">
        <v>166</v>
      </c>
      <c r="C32" s="23"/>
      <c r="D32" s="23" t="s">
        <v>202</v>
      </c>
      <c r="E32" s="23" t="s">
        <v>201</v>
      </c>
      <c r="F32" s="53" t="s">
        <v>199</v>
      </c>
      <c r="G32" s="53" t="s">
        <v>183</v>
      </c>
    </row>
    <row r="33" spans="1:7" ht="24" customHeight="1" thickTop="1" thickBot="1" x14ac:dyDescent="0.4">
      <c r="A33" s="20">
        <v>1</v>
      </c>
      <c r="B33" s="21" t="s">
        <v>2</v>
      </c>
      <c r="C33" s="20" t="s">
        <v>177</v>
      </c>
      <c r="D33" s="21">
        <f>COUNTIFS(MASTER!G7:G1009,"Tender",MASTER!N7:N1009,"Belum")</f>
        <v>153</v>
      </c>
      <c r="E33" s="136">
        <f>COUNTIFS(MASTER!G7:G1009,"Tender",MASTER!N7:N1009,"Proses")</f>
        <v>5</v>
      </c>
      <c r="F33" s="138">
        <f>COUNTIFS(MASTER!G7:G1009,"Tender",MASTER!N7:N1009,"Kontrak")</f>
        <v>1</v>
      </c>
      <c r="G33" s="68">
        <f>SUMIFS(MASTER!L7:L1009,MASTER!N7:N1009,"Kontrak",MASTER!G7:G1009,"Tender")</f>
        <v>3168040453.6999998</v>
      </c>
    </row>
    <row r="34" spans="1:7" ht="24" customHeight="1" thickTop="1" thickBot="1" x14ac:dyDescent="0.4">
      <c r="A34" s="20">
        <v>2</v>
      </c>
      <c r="B34" s="21" t="s">
        <v>12</v>
      </c>
      <c r="C34" s="20" t="s">
        <v>177</v>
      </c>
      <c r="D34" s="21">
        <f>COUNTIFS(MASTER!G7:G1009,"Tender Cepat",MASTER!N7:N1009,"Belum")</f>
        <v>2</v>
      </c>
      <c r="E34" s="136">
        <f>COUNTIFS(MASTER!G7:G1009,"Tender Cepat",MASTER!N7:N1009,"Proses")</f>
        <v>0</v>
      </c>
      <c r="F34" s="138">
        <f>COUNTIFS(MASTER!G7:G1009,"Tender Cepat",MASTER!N7:N1009,"Kontrak")</f>
        <v>7</v>
      </c>
      <c r="G34" s="68">
        <f>SUMIFS(MASTER!L7:L1009,MASTER!N7:N1009,"Kontrak",MASTER!G7:G1009,"Tender Cepat")</f>
        <v>3467838695.54</v>
      </c>
    </row>
    <row r="35" spans="1:7" ht="24" customHeight="1" thickTop="1" thickBot="1" x14ac:dyDescent="0.4">
      <c r="A35" s="20">
        <v>3</v>
      </c>
      <c r="B35" s="21" t="s">
        <v>169</v>
      </c>
      <c r="C35" s="20" t="s">
        <v>177</v>
      </c>
      <c r="D35" s="21">
        <f>COUNTIFS(MASTER!G7:G1009,"Seleksi",MASTER!N7:N1009,"Belum")</f>
        <v>5</v>
      </c>
      <c r="E35" s="136">
        <f>COUNTIFS(MASTER!G7:G1009,"Seleksi",MASTER!N7:N1009,"Proses")</f>
        <v>2</v>
      </c>
      <c r="F35" s="138">
        <f>COUNTIFS(MASTER!G7:G1009,"Seleksi",MASTER!N7:N1009,"Kontrak")</f>
        <v>0</v>
      </c>
      <c r="G35" s="68">
        <f>SUMIFS(MASTER!L7:L1009,MASTER!N7:N1009,"Kontrak",MASTER!G7:G1009,"Seleksi")</f>
        <v>0</v>
      </c>
    </row>
    <row r="36" spans="1:7" ht="24" customHeight="1" thickTop="1" thickBot="1" x14ac:dyDescent="0.4">
      <c r="A36" s="31"/>
      <c r="B36" s="32" t="s">
        <v>179</v>
      </c>
      <c r="C36" s="31"/>
      <c r="D36" s="51">
        <f>SUM(D33:D35)</f>
        <v>160</v>
      </c>
      <c r="E36" s="137">
        <f>SUM(E33:E35)</f>
        <v>7</v>
      </c>
      <c r="F36" s="139">
        <f>SUM(F33:F35)</f>
        <v>8</v>
      </c>
      <c r="G36" s="69">
        <f>SUM(G33:G35)</f>
        <v>6635879149.2399998</v>
      </c>
    </row>
    <row r="37" spans="1:7" ht="19" thickTop="1" x14ac:dyDescent="0.35"/>
  </sheetData>
  <mergeCells count="15">
    <mergeCell ref="F14:G14"/>
    <mergeCell ref="F15:G15"/>
    <mergeCell ref="A21:G21"/>
    <mergeCell ref="A30:G30"/>
    <mergeCell ref="F8:G8"/>
    <mergeCell ref="F16:G16"/>
    <mergeCell ref="F17:G17"/>
    <mergeCell ref="F18:G18"/>
    <mergeCell ref="A2:G2"/>
    <mergeCell ref="A11:G11"/>
    <mergeCell ref="F5:G5"/>
    <mergeCell ref="F4:G4"/>
    <mergeCell ref="F13:G13"/>
    <mergeCell ref="F7:G7"/>
    <mergeCell ref="F6:G6"/>
  </mergeCells>
  <pageMargins left="0.19" right="0.28000000000000003" top="0.75" bottom="1.5" header="0.77" footer="0.3"/>
  <pageSetup paperSize="256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zoomScale="80" zoomScaleNormal="80" workbookViewId="0">
      <pane xSplit="9" ySplit="6" topLeftCell="M130" activePane="bottomRight" state="frozen"/>
      <selection pane="topRight" activeCell="J1" sqref="J1"/>
      <selection pane="bottomLeft" activeCell="A7" sqref="A7"/>
      <selection pane="bottomRight" activeCell="A132" sqref="A132:XFD132"/>
    </sheetView>
  </sheetViews>
  <sheetFormatPr defaultColWidth="9.1796875" defaultRowHeight="14.5" x14ac:dyDescent="0.35"/>
  <cols>
    <col min="1" max="1" width="6.7265625" style="28" customWidth="1"/>
    <col min="2" max="2" width="43.26953125" style="26" customWidth="1"/>
    <col min="3" max="3" width="6.54296875" style="28" customWidth="1"/>
    <col min="4" max="4" width="5.26953125" style="26" customWidth="1"/>
    <col min="5" max="5" width="36.453125" style="26" customWidth="1"/>
    <col min="6" max="6" width="18.81640625" style="29" customWidth="1"/>
    <col min="7" max="7" width="15.1796875" style="28" customWidth="1"/>
    <col min="8" max="8" width="23.81640625" style="28" customWidth="1"/>
    <col min="9" max="9" width="22.81640625" style="28" customWidth="1"/>
    <col min="10" max="10" width="21.453125" style="26" customWidth="1"/>
    <col min="11" max="11" width="18.54296875" style="26" customWidth="1"/>
    <col min="12" max="12" width="18.7265625" style="70" customWidth="1"/>
    <col min="13" max="13" width="32.26953125" style="26" customWidth="1"/>
    <col min="14" max="14" width="14.26953125" style="28" customWidth="1"/>
    <col min="15" max="15" width="19.26953125" style="26" customWidth="1"/>
    <col min="16" max="16384" width="9.1796875" style="26"/>
  </cols>
  <sheetData>
    <row r="1" spans="1:15" ht="15" customHeight="1" x14ac:dyDescent="0.25">
      <c r="A1" s="173" t="s">
        <v>167</v>
      </c>
      <c r="B1" s="173"/>
      <c r="C1" s="173"/>
      <c r="D1" s="173"/>
      <c r="E1" s="173"/>
      <c r="F1" s="173"/>
      <c r="G1" s="173"/>
      <c r="H1" s="173"/>
      <c r="I1" s="173"/>
    </row>
    <row r="2" spans="1:15" ht="16.5" x14ac:dyDescent="0.25">
      <c r="A2" s="173" t="s">
        <v>168</v>
      </c>
      <c r="B2" s="173"/>
      <c r="C2" s="173"/>
      <c r="D2" s="173"/>
      <c r="E2" s="173"/>
      <c r="F2" s="173"/>
      <c r="G2" s="173"/>
      <c r="H2" s="173"/>
      <c r="I2" s="173"/>
    </row>
    <row r="3" spans="1:15" ht="16.5" x14ac:dyDescent="0.25">
      <c r="A3" s="175"/>
      <c r="B3" s="175"/>
      <c r="C3" s="175"/>
      <c r="D3" s="175"/>
      <c r="E3" s="175"/>
      <c r="F3" s="175"/>
      <c r="G3" s="175"/>
      <c r="H3" s="175"/>
      <c r="I3" s="175"/>
    </row>
    <row r="5" spans="1:15" ht="46.5" customHeight="1" x14ac:dyDescent="0.35">
      <c r="A5" s="190" t="s">
        <v>164</v>
      </c>
      <c r="B5" s="188" t="s">
        <v>165</v>
      </c>
      <c r="C5" s="182" t="s">
        <v>160</v>
      </c>
      <c r="D5" s="183"/>
      <c r="E5" s="184"/>
      <c r="F5" s="180" t="s">
        <v>159</v>
      </c>
      <c r="G5" s="178" t="s">
        <v>166</v>
      </c>
      <c r="H5" s="176" t="s">
        <v>162</v>
      </c>
      <c r="I5" s="176" t="s">
        <v>161</v>
      </c>
      <c r="J5" s="176" t="s">
        <v>181</v>
      </c>
      <c r="K5" s="176" t="s">
        <v>182</v>
      </c>
      <c r="L5" s="192" t="s">
        <v>183</v>
      </c>
      <c r="M5" s="176" t="s">
        <v>184</v>
      </c>
      <c r="N5" s="174" t="s">
        <v>185</v>
      </c>
    </row>
    <row r="6" spans="1:15" ht="46.5" customHeight="1" x14ac:dyDescent="0.35">
      <c r="A6" s="191"/>
      <c r="B6" s="189"/>
      <c r="C6" s="185"/>
      <c r="D6" s="186"/>
      <c r="E6" s="187"/>
      <c r="F6" s="181"/>
      <c r="G6" s="179"/>
      <c r="H6" s="177"/>
      <c r="I6" s="177"/>
      <c r="J6" s="177"/>
      <c r="K6" s="177"/>
      <c r="L6" s="193"/>
      <c r="M6" s="177"/>
      <c r="N6" s="174"/>
    </row>
    <row r="7" spans="1:15" ht="70.5" customHeight="1" x14ac:dyDescent="0.25">
      <c r="A7" s="8">
        <v>1</v>
      </c>
      <c r="B7" s="54" t="s">
        <v>6</v>
      </c>
      <c r="C7" s="55">
        <v>1</v>
      </c>
      <c r="D7" s="55">
        <v>1</v>
      </c>
      <c r="E7" s="56" t="s">
        <v>5</v>
      </c>
      <c r="F7" s="57">
        <v>1286250000</v>
      </c>
      <c r="G7" s="2" t="s">
        <v>2</v>
      </c>
      <c r="H7" s="8" t="s">
        <v>0</v>
      </c>
      <c r="I7" s="10">
        <v>43831</v>
      </c>
      <c r="J7" s="17"/>
      <c r="K7" s="17"/>
      <c r="L7" s="27"/>
      <c r="M7" s="17"/>
      <c r="N7" s="8" t="s">
        <v>202</v>
      </c>
    </row>
    <row r="8" spans="1:15" ht="49.5" x14ac:dyDescent="0.25">
      <c r="A8" s="8">
        <v>2</v>
      </c>
      <c r="B8" s="54" t="s">
        <v>3</v>
      </c>
      <c r="C8" s="55">
        <v>2</v>
      </c>
      <c r="D8" s="55">
        <v>1</v>
      </c>
      <c r="E8" s="56" t="s">
        <v>1</v>
      </c>
      <c r="F8" s="57">
        <v>755600000</v>
      </c>
      <c r="G8" s="2" t="s">
        <v>2</v>
      </c>
      <c r="H8" s="9" t="s">
        <v>180</v>
      </c>
      <c r="I8" s="10">
        <v>43891</v>
      </c>
      <c r="J8" s="17"/>
      <c r="K8" s="17"/>
      <c r="L8" s="27"/>
      <c r="M8" s="17"/>
      <c r="N8" s="8" t="s">
        <v>202</v>
      </c>
    </row>
    <row r="9" spans="1:15" ht="33" x14ac:dyDescent="0.25">
      <c r="A9" s="8">
        <v>3</v>
      </c>
      <c r="B9" s="54" t="s">
        <v>14</v>
      </c>
      <c r="C9" s="55">
        <v>3</v>
      </c>
      <c r="D9" s="55">
        <v>1</v>
      </c>
      <c r="E9" s="56" t="s">
        <v>7</v>
      </c>
      <c r="F9" s="57">
        <v>11790345000</v>
      </c>
      <c r="G9" s="3" t="s">
        <v>2</v>
      </c>
      <c r="H9" s="9" t="s">
        <v>180</v>
      </c>
      <c r="I9" s="11">
        <v>43891</v>
      </c>
      <c r="J9" s="17"/>
      <c r="K9" s="17"/>
      <c r="L9" s="27"/>
      <c r="M9" s="17"/>
      <c r="N9" s="8" t="s">
        <v>202</v>
      </c>
    </row>
    <row r="10" spans="1:15" ht="66" customHeight="1" x14ac:dyDescent="0.25">
      <c r="A10" s="8"/>
      <c r="B10" s="54" t="s">
        <v>14</v>
      </c>
      <c r="C10" s="55">
        <v>4</v>
      </c>
      <c r="D10" s="55">
        <v>2</v>
      </c>
      <c r="E10" s="56" t="s">
        <v>8</v>
      </c>
      <c r="F10" s="57">
        <v>185000000</v>
      </c>
      <c r="G10" s="4" t="s">
        <v>2</v>
      </c>
      <c r="H10" s="8" t="s">
        <v>176</v>
      </c>
      <c r="I10" s="12">
        <v>43891</v>
      </c>
      <c r="J10" s="17"/>
      <c r="K10" s="17"/>
      <c r="L10" s="27"/>
      <c r="M10" s="17"/>
      <c r="N10" s="8" t="s">
        <v>202</v>
      </c>
    </row>
    <row r="11" spans="1:15" ht="27" customHeight="1" x14ac:dyDescent="0.25">
      <c r="A11" s="8"/>
      <c r="B11" s="54" t="s">
        <v>14</v>
      </c>
      <c r="C11" s="55">
        <v>5</v>
      </c>
      <c r="D11" s="55">
        <v>3</v>
      </c>
      <c r="E11" s="56" t="s">
        <v>9</v>
      </c>
      <c r="F11" s="57">
        <v>765000000</v>
      </c>
      <c r="G11" s="3" t="s">
        <v>2</v>
      </c>
      <c r="H11" s="9" t="s">
        <v>180</v>
      </c>
      <c r="I11" s="11">
        <v>43952</v>
      </c>
      <c r="J11" s="17"/>
      <c r="K11" s="17"/>
      <c r="L11" s="27"/>
      <c r="M11" s="17"/>
      <c r="N11" s="8" t="s">
        <v>202</v>
      </c>
    </row>
    <row r="12" spans="1:15" ht="66" customHeight="1" x14ac:dyDescent="0.25">
      <c r="A12" s="8"/>
      <c r="B12" s="54" t="s">
        <v>14</v>
      </c>
      <c r="C12" s="55">
        <v>6</v>
      </c>
      <c r="D12" s="55">
        <v>4</v>
      </c>
      <c r="E12" s="56" t="s">
        <v>10</v>
      </c>
      <c r="F12" s="57">
        <v>4505925000</v>
      </c>
      <c r="G12" s="4" t="s">
        <v>2</v>
      </c>
      <c r="H12" s="9" t="s">
        <v>180</v>
      </c>
      <c r="I12" s="12">
        <v>43891</v>
      </c>
      <c r="J12" s="17"/>
      <c r="K12" s="17"/>
      <c r="L12" s="27"/>
      <c r="M12" s="17"/>
      <c r="N12" s="8" t="s">
        <v>202</v>
      </c>
    </row>
    <row r="13" spans="1:15" ht="66.75" customHeight="1" x14ac:dyDescent="0.25">
      <c r="A13" s="8"/>
      <c r="B13" s="54" t="s">
        <v>14</v>
      </c>
      <c r="C13" s="55">
        <v>7</v>
      </c>
      <c r="D13" s="55">
        <v>5</v>
      </c>
      <c r="E13" s="56" t="s">
        <v>11</v>
      </c>
      <c r="F13" s="57">
        <v>984576000</v>
      </c>
      <c r="G13" s="3" t="s">
        <v>12</v>
      </c>
      <c r="H13" s="8" t="s">
        <v>0</v>
      </c>
      <c r="I13" s="11">
        <v>43831</v>
      </c>
      <c r="J13" s="17"/>
      <c r="K13" s="17"/>
      <c r="L13" s="27">
        <v>758971835</v>
      </c>
      <c r="M13" s="17" t="s">
        <v>255</v>
      </c>
      <c r="N13" s="8" t="s">
        <v>199</v>
      </c>
    </row>
    <row r="14" spans="1:15" ht="66" customHeight="1" x14ac:dyDescent="0.25">
      <c r="A14" s="8"/>
      <c r="B14" s="54" t="s">
        <v>14</v>
      </c>
      <c r="C14" s="55">
        <v>8</v>
      </c>
      <c r="D14" s="55">
        <v>6</v>
      </c>
      <c r="E14" s="56" t="s">
        <v>13</v>
      </c>
      <c r="F14" s="57">
        <v>530000000</v>
      </c>
      <c r="G14" s="2" t="s">
        <v>12</v>
      </c>
      <c r="H14" s="8" t="s">
        <v>0</v>
      </c>
      <c r="I14" s="10">
        <v>43831</v>
      </c>
      <c r="J14" s="17"/>
      <c r="K14" s="17"/>
      <c r="L14" s="27">
        <v>419720102</v>
      </c>
      <c r="M14" s="17" t="s">
        <v>198</v>
      </c>
      <c r="N14" s="8" t="s">
        <v>199</v>
      </c>
    </row>
    <row r="15" spans="1:15" ht="49.5" x14ac:dyDescent="0.25">
      <c r="A15" s="8">
        <v>4</v>
      </c>
      <c r="B15" s="54" t="s">
        <v>19</v>
      </c>
      <c r="C15" s="55">
        <v>9</v>
      </c>
      <c r="D15" s="55">
        <v>1</v>
      </c>
      <c r="E15" s="56" t="s">
        <v>16</v>
      </c>
      <c r="F15" s="57">
        <v>628520000</v>
      </c>
      <c r="G15" s="3" t="s">
        <v>12</v>
      </c>
      <c r="H15" s="8" t="s">
        <v>163</v>
      </c>
      <c r="I15" s="11">
        <v>43862</v>
      </c>
      <c r="J15" s="17"/>
      <c r="K15" s="17"/>
      <c r="L15" s="27">
        <v>524878750</v>
      </c>
      <c r="M15" s="8" t="s">
        <v>223</v>
      </c>
      <c r="N15" s="8" t="s">
        <v>199</v>
      </c>
      <c r="O15" s="67"/>
    </row>
    <row r="16" spans="1:15" ht="66" customHeight="1" x14ac:dyDescent="0.25">
      <c r="A16" s="8"/>
      <c r="B16" s="54" t="s">
        <v>19</v>
      </c>
      <c r="C16" s="55">
        <v>10</v>
      </c>
      <c r="D16" s="55">
        <v>2</v>
      </c>
      <c r="E16" s="56" t="s">
        <v>17</v>
      </c>
      <c r="F16" s="57">
        <v>425830000</v>
      </c>
      <c r="G16" s="2" t="s">
        <v>2</v>
      </c>
      <c r="H16" s="8" t="s">
        <v>163</v>
      </c>
      <c r="I16" s="10">
        <v>43862</v>
      </c>
      <c r="J16" s="17"/>
      <c r="K16" s="17"/>
      <c r="L16" s="27"/>
      <c r="M16" s="17"/>
      <c r="N16" s="8" t="s">
        <v>201</v>
      </c>
      <c r="O16" s="67"/>
    </row>
    <row r="17" spans="1:14" ht="66" customHeight="1" x14ac:dyDescent="0.25">
      <c r="A17" s="8"/>
      <c r="B17" s="54" t="s">
        <v>19</v>
      </c>
      <c r="C17" s="55">
        <v>11</v>
      </c>
      <c r="D17" s="55">
        <v>3</v>
      </c>
      <c r="E17" s="56" t="s">
        <v>18</v>
      </c>
      <c r="F17" s="57">
        <v>428820000</v>
      </c>
      <c r="G17" s="3" t="s">
        <v>2</v>
      </c>
      <c r="H17" s="8" t="s">
        <v>163</v>
      </c>
      <c r="I17" s="11">
        <v>43862</v>
      </c>
      <c r="J17" s="17"/>
      <c r="K17" s="17"/>
      <c r="L17" s="27"/>
      <c r="M17" s="17"/>
      <c r="N17" s="8" t="s">
        <v>201</v>
      </c>
    </row>
    <row r="18" spans="1:14" ht="33" x14ac:dyDescent="0.25">
      <c r="A18" s="8">
        <v>5</v>
      </c>
      <c r="B18" s="54" t="s">
        <v>24</v>
      </c>
      <c r="C18" s="55">
        <v>12</v>
      </c>
      <c r="D18" s="55">
        <v>1</v>
      </c>
      <c r="E18" s="56" t="s">
        <v>20</v>
      </c>
      <c r="F18" s="57">
        <v>2731428000</v>
      </c>
      <c r="G18" s="3" t="s">
        <v>2</v>
      </c>
      <c r="H18" s="9" t="s">
        <v>180</v>
      </c>
      <c r="I18" s="11">
        <v>43831</v>
      </c>
      <c r="J18" s="17"/>
      <c r="K18" s="17"/>
      <c r="L18" s="27"/>
      <c r="M18" s="17"/>
      <c r="N18" s="8" t="s">
        <v>202</v>
      </c>
    </row>
    <row r="19" spans="1:14" ht="33" x14ac:dyDescent="0.25">
      <c r="A19" s="8"/>
      <c r="B19" s="54" t="s">
        <v>24</v>
      </c>
      <c r="C19" s="55">
        <v>13</v>
      </c>
      <c r="D19" s="55">
        <v>2</v>
      </c>
      <c r="E19" s="56" t="s">
        <v>21</v>
      </c>
      <c r="F19" s="57">
        <v>229500000</v>
      </c>
      <c r="G19" s="4" t="s">
        <v>2</v>
      </c>
      <c r="H19" s="9" t="s">
        <v>180</v>
      </c>
      <c r="I19" s="12">
        <v>43831</v>
      </c>
      <c r="J19" s="17"/>
      <c r="K19" s="17"/>
      <c r="L19" s="27"/>
      <c r="M19" s="17"/>
      <c r="N19" s="8" t="s">
        <v>202</v>
      </c>
    </row>
    <row r="20" spans="1:14" ht="49.5" x14ac:dyDescent="0.25">
      <c r="A20" s="8"/>
      <c r="B20" s="54" t="s">
        <v>24</v>
      </c>
      <c r="C20" s="55">
        <v>14</v>
      </c>
      <c r="D20" s="55">
        <v>3</v>
      </c>
      <c r="E20" s="56" t="s">
        <v>22</v>
      </c>
      <c r="F20" s="57">
        <v>468685000</v>
      </c>
      <c r="G20" s="3" t="s">
        <v>2</v>
      </c>
      <c r="H20" s="9" t="s">
        <v>180</v>
      </c>
      <c r="I20" s="11">
        <v>43831</v>
      </c>
      <c r="J20" s="17"/>
      <c r="K20" s="17"/>
      <c r="L20" s="27"/>
      <c r="M20" s="17"/>
      <c r="N20" s="8" t="s">
        <v>202</v>
      </c>
    </row>
    <row r="21" spans="1:14" ht="82.5" customHeight="1" x14ac:dyDescent="0.25">
      <c r="A21" s="8"/>
      <c r="B21" s="54" t="s">
        <v>24</v>
      </c>
      <c r="C21" s="55">
        <v>15</v>
      </c>
      <c r="D21" s="55">
        <v>4</v>
      </c>
      <c r="E21" s="56" t="s">
        <v>23</v>
      </c>
      <c r="F21" s="57">
        <v>263660000</v>
      </c>
      <c r="G21" s="2" t="s">
        <v>2</v>
      </c>
      <c r="H21" s="9" t="s">
        <v>180</v>
      </c>
      <c r="I21" s="10">
        <v>43831</v>
      </c>
      <c r="J21" s="17"/>
      <c r="K21" s="17"/>
      <c r="L21" s="27"/>
      <c r="M21" s="17"/>
      <c r="N21" s="8" t="s">
        <v>202</v>
      </c>
    </row>
    <row r="22" spans="1:14" ht="33" customHeight="1" x14ac:dyDescent="0.25">
      <c r="A22" s="8">
        <v>6</v>
      </c>
      <c r="B22" s="58" t="s">
        <v>170</v>
      </c>
      <c r="C22" s="55">
        <v>16</v>
      </c>
      <c r="D22" s="55">
        <v>1</v>
      </c>
      <c r="E22" s="56" t="s">
        <v>25</v>
      </c>
      <c r="F22" s="57">
        <v>475000000</v>
      </c>
      <c r="G22" s="3" t="s">
        <v>2</v>
      </c>
      <c r="H22" s="9" t="s">
        <v>180</v>
      </c>
      <c r="I22" s="11">
        <v>43891</v>
      </c>
      <c r="J22" s="17"/>
      <c r="K22" s="17"/>
      <c r="L22" s="27"/>
      <c r="M22" s="17"/>
      <c r="N22" s="8" t="s">
        <v>202</v>
      </c>
    </row>
    <row r="23" spans="1:14" ht="22.5" customHeight="1" x14ac:dyDescent="0.25">
      <c r="A23" s="8"/>
      <c r="B23" s="58" t="s">
        <v>170</v>
      </c>
      <c r="C23" s="55">
        <v>17</v>
      </c>
      <c r="D23" s="55">
        <v>2</v>
      </c>
      <c r="E23" s="56" t="s">
        <v>26</v>
      </c>
      <c r="F23" s="57">
        <v>2319900000</v>
      </c>
      <c r="G23" s="2" t="s">
        <v>2</v>
      </c>
      <c r="H23" s="9" t="s">
        <v>180</v>
      </c>
      <c r="I23" s="10">
        <v>43862</v>
      </c>
      <c r="J23" s="17"/>
      <c r="K23" s="17"/>
      <c r="L23" s="27"/>
      <c r="M23" s="17"/>
      <c r="N23" s="8" t="s">
        <v>202</v>
      </c>
    </row>
    <row r="24" spans="1:14" ht="33" x14ac:dyDescent="0.25">
      <c r="A24" s="8">
        <v>7</v>
      </c>
      <c r="B24" s="54" t="s">
        <v>112</v>
      </c>
      <c r="C24" s="55">
        <v>18</v>
      </c>
      <c r="D24" s="55">
        <v>1</v>
      </c>
      <c r="E24" s="56" t="s">
        <v>27</v>
      </c>
      <c r="F24" s="59">
        <v>500000000</v>
      </c>
      <c r="G24" s="3" t="s">
        <v>2</v>
      </c>
      <c r="H24" s="9" t="s">
        <v>180</v>
      </c>
      <c r="I24" s="11">
        <v>43922</v>
      </c>
      <c r="J24" s="17"/>
      <c r="K24" s="17"/>
      <c r="L24" s="27"/>
      <c r="M24" s="17"/>
      <c r="N24" s="8" t="s">
        <v>202</v>
      </c>
    </row>
    <row r="25" spans="1:14" ht="33" x14ac:dyDescent="0.25">
      <c r="A25" s="8"/>
      <c r="B25" s="54" t="s">
        <v>112</v>
      </c>
      <c r="C25" s="55">
        <v>19</v>
      </c>
      <c r="D25" s="55">
        <v>2</v>
      </c>
      <c r="E25" s="56" t="s">
        <v>28</v>
      </c>
      <c r="F25" s="59">
        <v>1000000000</v>
      </c>
      <c r="G25" s="4" t="s">
        <v>2</v>
      </c>
      <c r="H25" s="9" t="s">
        <v>180</v>
      </c>
      <c r="I25" s="12">
        <v>43922</v>
      </c>
      <c r="J25" s="17"/>
      <c r="K25" s="17"/>
      <c r="L25" s="27"/>
      <c r="M25" s="17"/>
      <c r="N25" s="8" t="s">
        <v>202</v>
      </c>
    </row>
    <row r="26" spans="1:14" ht="49.5" customHeight="1" x14ac:dyDescent="0.25">
      <c r="A26" s="8"/>
      <c r="B26" s="54" t="s">
        <v>112</v>
      </c>
      <c r="C26" s="55">
        <v>20</v>
      </c>
      <c r="D26" s="55">
        <v>3</v>
      </c>
      <c r="E26" s="56" t="s">
        <v>29</v>
      </c>
      <c r="F26" s="59">
        <v>500000000</v>
      </c>
      <c r="G26" s="3" t="s">
        <v>2</v>
      </c>
      <c r="H26" s="9" t="s">
        <v>180</v>
      </c>
      <c r="I26" s="11">
        <v>43922</v>
      </c>
      <c r="J26" s="17"/>
      <c r="K26" s="17"/>
      <c r="L26" s="27"/>
      <c r="M26" s="17"/>
      <c r="N26" s="8" t="s">
        <v>202</v>
      </c>
    </row>
    <row r="27" spans="1:14" ht="33" x14ac:dyDescent="0.25">
      <c r="A27" s="8"/>
      <c r="B27" s="54" t="s">
        <v>112</v>
      </c>
      <c r="C27" s="55">
        <v>21</v>
      </c>
      <c r="D27" s="55">
        <v>4</v>
      </c>
      <c r="E27" s="56" t="s">
        <v>30</v>
      </c>
      <c r="F27" s="59">
        <v>915000000</v>
      </c>
      <c r="G27" s="4" t="s">
        <v>2</v>
      </c>
      <c r="H27" s="9" t="s">
        <v>180</v>
      </c>
      <c r="I27" s="12">
        <v>43862</v>
      </c>
      <c r="J27" s="17"/>
      <c r="K27" s="17"/>
      <c r="L27" s="27"/>
      <c r="M27" s="17"/>
      <c r="N27" s="8" t="s">
        <v>202</v>
      </c>
    </row>
    <row r="28" spans="1:14" ht="36.75" customHeight="1" x14ac:dyDescent="0.25">
      <c r="A28" s="8"/>
      <c r="B28" s="54" t="s">
        <v>112</v>
      </c>
      <c r="C28" s="55">
        <v>22</v>
      </c>
      <c r="D28" s="55">
        <v>5</v>
      </c>
      <c r="E28" s="56" t="s">
        <v>31</v>
      </c>
      <c r="F28" s="59">
        <v>500000000</v>
      </c>
      <c r="G28" s="3" t="s">
        <v>2</v>
      </c>
      <c r="H28" s="9" t="s">
        <v>180</v>
      </c>
      <c r="I28" s="11">
        <v>43891</v>
      </c>
      <c r="J28" s="17"/>
      <c r="K28" s="17"/>
      <c r="L28" s="27"/>
      <c r="M28" s="17"/>
      <c r="N28" s="8" t="s">
        <v>202</v>
      </c>
    </row>
    <row r="29" spans="1:14" ht="33" x14ac:dyDescent="0.25">
      <c r="A29" s="8"/>
      <c r="B29" s="54" t="s">
        <v>112</v>
      </c>
      <c r="C29" s="55">
        <v>23</v>
      </c>
      <c r="D29" s="55">
        <v>6</v>
      </c>
      <c r="E29" s="56" t="s">
        <v>32</v>
      </c>
      <c r="F29" s="59">
        <v>1500000000</v>
      </c>
      <c r="G29" s="4" t="s">
        <v>2</v>
      </c>
      <c r="H29" s="9" t="s">
        <v>180</v>
      </c>
      <c r="I29" s="12">
        <v>43862</v>
      </c>
      <c r="J29" s="17"/>
      <c r="K29" s="17"/>
      <c r="L29" s="27"/>
      <c r="M29" s="17"/>
      <c r="N29" s="8" t="s">
        <v>202</v>
      </c>
    </row>
    <row r="30" spans="1:14" ht="33" x14ac:dyDescent="0.25">
      <c r="A30" s="8"/>
      <c r="B30" s="54" t="s">
        <v>112</v>
      </c>
      <c r="C30" s="55">
        <v>24</v>
      </c>
      <c r="D30" s="55">
        <v>7</v>
      </c>
      <c r="E30" s="56" t="s">
        <v>33</v>
      </c>
      <c r="F30" s="59">
        <v>1250000000</v>
      </c>
      <c r="G30" s="3" t="s">
        <v>2</v>
      </c>
      <c r="H30" s="9" t="s">
        <v>180</v>
      </c>
      <c r="I30" s="11">
        <v>43862</v>
      </c>
      <c r="J30" s="17"/>
      <c r="K30" s="17"/>
      <c r="L30" s="27"/>
      <c r="M30" s="17"/>
      <c r="N30" s="8" t="s">
        <v>202</v>
      </c>
    </row>
    <row r="31" spans="1:14" ht="33" customHeight="1" x14ac:dyDescent="0.25">
      <c r="A31" s="8"/>
      <c r="B31" s="54" t="s">
        <v>112</v>
      </c>
      <c r="C31" s="55">
        <v>25</v>
      </c>
      <c r="D31" s="55">
        <v>8</v>
      </c>
      <c r="E31" s="56" t="s">
        <v>34</v>
      </c>
      <c r="F31" s="59">
        <v>750000000</v>
      </c>
      <c r="G31" s="4" t="s">
        <v>2</v>
      </c>
      <c r="H31" s="9" t="s">
        <v>180</v>
      </c>
      <c r="I31" s="12">
        <v>43862</v>
      </c>
      <c r="J31" s="17"/>
      <c r="K31" s="17"/>
      <c r="L31" s="27"/>
      <c r="M31" s="17"/>
      <c r="N31" s="8" t="s">
        <v>202</v>
      </c>
    </row>
    <row r="32" spans="1:14" ht="33" customHeight="1" x14ac:dyDescent="0.25">
      <c r="A32" s="8"/>
      <c r="B32" s="54" t="s">
        <v>112</v>
      </c>
      <c r="C32" s="55">
        <v>26</v>
      </c>
      <c r="D32" s="55">
        <v>9</v>
      </c>
      <c r="E32" s="56" t="s">
        <v>35</v>
      </c>
      <c r="F32" s="59">
        <v>1000000000</v>
      </c>
      <c r="G32" s="3" t="s">
        <v>2</v>
      </c>
      <c r="H32" s="9" t="s">
        <v>180</v>
      </c>
      <c r="I32" s="11">
        <v>43862</v>
      </c>
      <c r="J32" s="17"/>
      <c r="K32" s="17"/>
      <c r="L32" s="27"/>
      <c r="M32" s="17"/>
      <c r="N32" s="8" t="s">
        <v>202</v>
      </c>
    </row>
    <row r="33" spans="1:14" ht="33" customHeight="1" x14ac:dyDescent="0.25">
      <c r="A33" s="8"/>
      <c r="B33" s="54" t="s">
        <v>112</v>
      </c>
      <c r="C33" s="55">
        <v>27</v>
      </c>
      <c r="D33" s="55">
        <v>10</v>
      </c>
      <c r="E33" s="56" t="s">
        <v>36</v>
      </c>
      <c r="F33" s="59">
        <v>800000000</v>
      </c>
      <c r="G33" s="4" t="s">
        <v>2</v>
      </c>
      <c r="H33" s="9" t="s">
        <v>180</v>
      </c>
      <c r="I33" s="12">
        <v>42401</v>
      </c>
      <c r="J33" s="17"/>
      <c r="K33" s="17"/>
      <c r="L33" s="27"/>
      <c r="M33" s="17"/>
      <c r="N33" s="8" t="s">
        <v>202</v>
      </c>
    </row>
    <row r="34" spans="1:14" ht="49.5" customHeight="1" x14ac:dyDescent="0.25">
      <c r="A34" s="8"/>
      <c r="B34" s="54" t="s">
        <v>112</v>
      </c>
      <c r="C34" s="55">
        <v>28</v>
      </c>
      <c r="D34" s="55">
        <v>11</v>
      </c>
      <c r="E34" s="56" t="s">
        <v>37</v>
      </c>
      <c r="F34" s="59">
        <v>2000000000</v>
      </c>
      <c r="G34" s="3" t="s">
        <v>2</v>
      </c>
      <c r="H34" s="9" t="s">
        <v>180</v>
      </c>
      <c r="I34" s="11">
        <v>43862</v>
      </c>
      <c r="J34" s="17"/>
      <c r="K34" s="17"/>
      <c r="L34" s="27"/>
      <c r="M34" s="17"/>
      <c r="N34" s="8" t="s">
        <v>202</v>
      </c>
    </row>
    <row r="35" spans="1:14" ht="33" customHeight="1" x14ac:dyDescent="0.25">
      <c r="A35" s="8"/>
      <c r="B35" s="54" t="s">
        <v>112</v>
      </c>
      <c r="C35" s="55">
        <v>29</v>
      </c>
      <c r="D35" s="55">
        <v>12</v>
      </c>
      <c r="E35" s="56" t="s">
        <v>38</v>
      </c>
      <c r="F35" s="59">
        <v>1000000000</v>
      </c>
      <c r="G35" s="4" t="s">
        <v>2</v>
      </c>
      <c r="H35" s="9" t="s">
        <v>180</v>
      </c>
      <c r="I35" s="12">
        <v>43862</v>
      </c>
      <c r="J35" s="17"/>
      <c r="K35" s="17"/>
      <c r="L35" s="27"/>
      <c r="M35" s="17"/>
      <c r="N35" s="8" t="s">
        <v>202</v>
      </c>
    </row>
    <row r="36" spans="1:14" ht="33" x14ac:dyDescent="0.25">
      <c r="A36" s="8"/>
      <c r="B36" s="54" t="s">
        <v>112</v>
      </c>
      <c r="C36" s="55">
        <v>30</v>
      </c>
      <c r="D36" s="55">
        <v>13</v>
      </c>
      <c r="E36" s="56" t="s">
        <v>39</v>
      </c>
      <c r="F36" s="59">
        <v>500000000</v>
      </c>
      <c r="G36" s="3" t="s">
        <v>2</v>
      </c>
      <c r="H36" s="9" t="s">
        <v>180</v>
      </c>
      <c r="I36" s="11">
        <v>43862</v>
      </c>
      <c r="J36" s="17"/>
      <c r="K36" s="17"/>
      <c r="L36" s="27"/>
      <c r="M36" s="17"/>
      <c r="N36" s="8" t="s">
        <v>202</v>
      </c>
    </row>
    <row r="37" spans="1:14" ht="33" customHeight="1" x14ac:dyDescent="0.25">
      <c r="A37" s="8"/>
      <c r="B37" s="54" t="s">
        <v>112</v>
      </c>
      <c r="C37" s="55">
        <v>31</v>
      </c>
      <c r="D37" s="55">
        <v>14</v>
      </c>
      <c r="E37" s="56" t="s">
        <v>40</v>
      </c>
      <c r="F37" s="59">
        <v>1500000000</v>
      </c>
      <c r="G37" s="4" t="s">
        <v>2</v>
      </c>
      <c r="H37" s="9" t="s">
        <v>180</v>
      </c>
      <c r="I37" s="12">
        <v>43862</v>
      </c>
      <c r="J37" s="17"/>
      <c r="K37" s="17"/>
      <c r="L37" s="27"/>
      <c r="M37" s="17"/>
      <c r="N37" s="8" t="s">
        <v>202</v>
      </c>
    </row>
    <row r="38" spans="1:14" ht="33" x14ac:dyDescent="0.25">
      <c r="A38" s="8"/>
      <c r="B38" s="54" t="s">
        <v>112</v>
      </c>
      <c r="C38" s="55">
        <v>32</v>
      </c>
      <c r="D38" s="55">
        <v>15</v>
      </c>
      <c r="E38" s="56" t="s">
        <v>41</v>
      </c>
      <c r="F38" s="59">
        <v>500000000</v>
      </c>
      <c r="G38" s="3" t="s">
        <v>2</v>
      </c>
      <c r="H38" s="9" t="s">
        <v>180</v>
      </c>
      <c r="I38" s="11">
        <v>43862</v>
      </c>
      <c r="J38" s="17"/>
      <c r="K38" s="17"/>
      <c r="L38" s="27"/>
      <c r="M38" s="17"/>
      <c r="N38" s="8" t="s">
        <v>202</v>
      </c>
    </row>
    <row r="39" spans="1:14" ht="33" x14ac:dyDescent="0.25">
      <c r="A39" s="8"/>
      <c r="B39" s="54" t="s">
        <v>112</v>
      </c>
      <c r="C39" s="55">
        <v>33</v>
      </c>
      <c r="D39" s="55">
        <v>16</v>
      </c>
      <c r="E39" s="56" t="s">
        <v>42</v>
      </c>
      <c r="F39" s="59">
        <v>1000000000</v>
      </c>
      <c r="G39" s="4" t="s">
        <v>2</v>
      </c>
      <c r="H39" s="9" t="s">
        <v>180</v>
      </c>
      <c r="I39" s="12">
        <v>43862</v>
      </c>
      <c r="J39" s="17"/>
      <c r="K39" s="17"/>
      <c r="L39" s="27"/>
      <c r="M39" s="17"/>
      <c r="N39" s="8" t="s">
        <v>202</v>
      </c>
    </row>
    <row r="40" spans="1:14" ht="33" x14ac:dyDescent="0.25">
      <c r="A40" s="8"/>
      <c r="B40" s="54" t="s">
        <v>112</v>
      </c>
      <c r="C40" s="55">
        <v>34</v>
      </c>
      <c r="D40" s="55">
        <v>17</v>
      </c>
      <c r="E40" s="56" t="s">
        <v>43</v>
      </c>
      <c r="F40" s="59">
        <v>1000000000</v>
      </c>
      <c r="G40" s="3" t="s">
        <v>2</v>
      </c>
      <c r="H40" s="9" t="s">
        <v>180</v>
      </c>
      <c r="I40" s="11">
        <v>43862</v>
      </c>
      <c r="J40" s="17"/>
      <c r="K40" s="17"/>
      <c r="L40" s="27"/>
      <c r="M40" s="17"/>
      <c r="N40" s="8" t="s">
        <v>202</v>
      </c>
    </row>
    <row r="41" spans="1:14" ht="33" x14ac:dyDescent="0.25">
      <c r="A41" s="8"/>
      <c r="B41" s="54" t="s">
        <v>112</v>
      </c>
      <c r="C41" s="55">
        <v>35</v>
      </c>
      <c r="D41" s="55">
        <v>18</v>
      </c>
      <c r="E41" s="56" t="s">
        <v>44</v>
      </c>
      <c r="F41" s="59">
        <v>900000000</v>
      </c>
      <c r="G41" s="4" t="s">
        <v>2</v>
      </c>
      <c r="H41" s="9" t="s">
        <v>180</v>
      </c>
      <c r="I41" s="12">
        <v>43862</v>
      </c>
      <c r="J41" s="17"/>
      <c r="K41" s="17"/>
      <c r="L41" s="27"/>
      <c r="M41" s="17"/>
      <c r="N41" s="8" t="s">
        <v>202</v>
      </c>
    </row>
    <row r="42" spans="1:14" ht="49.5" customHeight="1" x14ac:dyDescent="0.25">
      <c r="A42" s="8"/>
      <c r="B42" s="54" t="s">
        <v>112</v>
      </c>
      <c r="C42" s="55">
        <v>36</v>
      </c>
      <c r="D42" s="55">
        <v>19</v>
      </c>
      <c r="E42" s="56" t="s">
        <v>45</v>
      </c>
      <c r="F42" s="59">
        <v>500000000</v>
      </c>
      <c r="G42" s="3" t="s">
        <v>2</v>
      </c>
      <c r="H42" s="9" t="s">
        <v>180</v>
      </c>
      <c r="I42" s="11">
        <v>43922</v>
      </c>
      <c r="J42" s="17"/>
      <c r="K42" s="17"/>
      <c r="L42" s="27"/>
      <c r="M42" s="17"/>
      <c r="N42" s="8" t="s">
        <v>202</v>
      </c>
    </row>
    <row r="43" spans="1:14" ht="33" x14ac:dyDescent="0.25">
      <c r="A43" s="8"/>
      <c r="B43" s="54" t="s">
        <v>112</v>
      </c>
      <c r="C43" s="55">
        <v>37</v>
      </c>
      <c r="D43" s="55">
        <v>20</v>
      </c>
      <c r="E43" s="56" t="s">
        <v>46</v>
      </c>
      <c r="F43" s="59">
        <v>1000000000</v>
      </c>
      <c r="G43" s="4" t="s">
        <v>2</v>
      </c>
      <c r="H43" s="9" t="s">
        <v>180</v>
      </c>
      <c r="I43" s="12">
        <v>43922</v>
      </c>
      <c r="J43" s="17"/>
      <c r="K43" s="17"/>
      <c r="L43" s="27"/>
      <c r="M43" s="17"/>
      <c r="N43" s="8" t="s">
        <v>202</v>
      </c>
    </row>
    <row r="44" spans="1:14" ht="33" x14ac:dyDescent="0.25">
      <c r="A44" s="8"/>
      <c r="B44" s="54" t="s">
        <v>112</v>
      </c>
      <c r="C44" s="55">
        <v>38</v>
      </c>
      <c r="D44" s="55">
        <v>21</v>
      </c>
      <c r="E44" s="56" t="s">
        <v>47</v>
      </c>
      <c r="F44" s="59">
        <v>1000000000</v>
      </c>
      <c r="G44" s="3" t="s">
        <v>2</v>
      </c>
      <c r="H44" s="9" t="s">
        <v>180</v>
      </c>
      <c r="I44" s="11">
        <v>43922</v>
      </c>
      <c r="J44" s="17"/>
      <c r="K44" s="17"/>
      <c r="L44" s="27"/>
      <c r="M44" s="17"/>
      <c r="N44" s="8" t="s">
        <v>202</v>
      </c>
    </row>
    <row r="45" spans="1:14" ht="33" x14ac:dyDescent="0.25">
      <c r="A45" s="8"/>
      <c r="B45" s="54" t="s">
        <v>112</v>
      </c>
      <c r="C45" s="55">
        <v>39</v>
      </c>
      <c r="D45" s="55">
        <v>22</v>
      </c>
      <c r="E45" s="56" t="s">
        <v>48</v>
      </c>
      <c r="F45" s="59">
        <v>1000000000</v>
      </c>
      <c r="G45" s="4" t="s">
        <v>2</v>
      </c>
      <c r="H45" s="9" t="s">
        <v>180</v>
      </c>
      <c r="I45" s="12">
        <v>43862</v>
      </c>
      <c r="J45" s="17"/>
      <c r="K45" s="17"/>
      <c r="L45" s="27"/>
      <c r="M45" s="17"/>
      <c r="N45" s="8" t="s">
        <v>202</v>
      </c>
    </row>
    <row r="46" spans="1:14" ht="33" x14ac:dyDescent="0.25">
      <c r="A46" s="8"/>
      <c r="B46" s="54" t="s">
        <v>112</v>
      </c>
      <c r="C46" s="55">
        <v>40</v>
      </c>
      <c r="D46" s="55">
        <v>23</v>
      </c>
      <c r="E46" s="56" t="s">
        <v>49</v>
      </c>
      <c r="F46" s="59">
        <v>500000000</v>
      </c>
      <c r="G46" s="3" t="s">
        <v>2</v>
      </c>
      <c r="H46" s="9" t="s">
        <v>180</v>
      </c>
      <c r="I46" s="11">
        <v>43922</v>
      </c>
      <c r="J46" s="17"/>
      <c r="K46" s="17"/>
      <c r="L46" s="27"/>
      <c r="M46" s="17"/>
      <c r="N46" s="8" t="s">
        <v>202</v>
      </c>
    </row>
    <row r="47" spans="1:14" ht="33" x14ac:dyDescent="0.25">
      <c r="A47" s="8"/>
      <c r="B47" s="54" t="s">
        <v>112</v>
      </c>
      <c r="C47" s="55">
        <v>41</v>
      </c>
      <c r="D47" s="55">
        <v>24</v>
      </c>
      <c r="E47" s="56" t="s">
        <v>50</v>
      </c>
      <c r="F47" s="59">
        <v>730000000</v>
      </c>
      <c r="G47" s="4" t="s">
        <v>2</v>
      </c>
      <c r="H47" s="9" t="s">
        <v>163</v>
      </c>
      <c r="I47" s="12">
        <v>43831</v>
      </c>
      <c r="J47" s="17"/>
      <c r="K47" s="17"/>
      <c r="L47" s="27"/>
      <c r="M47" s="17"/>
      <c r="N47" s="8" t="s">
        <v>202</v>
      </c>
    </row>
    <row r="48" spans="1:14" ht="33" x14ac:dyDescent="0.25">
      <c r="A48" s="8"/>
      <c r="B48" s="54" t="s">
        <v>112</v>
      </c>
      <c r="C48" s="55">
        <v>42</v>
      </c>
      <c r="D48" s="55">
        <v>25</v>
      </c>
      <c r="E48" s="56" t="s">
        <v>51</v>
      </c>
      <c r="F48" s="59">
        <v>1224000000</v>
      </c>
      <c r="G48" s="3" t="s">
        <v>2</v>
      </c>
      <c r="H48" s="9" t="s">
        <v>163</v>
      </c>
      <c r="I48" s="11">
        <v>43831</v>
      </c>
      <c r="J48" s="17"/>
      <c r="K48" s="17"/>
      <c r="L48" s="27"/>
      <c r="M48" s="17"/>
      <c r="N48" s="8" t="s">
        <v>202</v>
      </c>
    </row>
    <row r="49" spans="1:14" ht="33" x14ac:dyDescent="0.25">
      <c r="A49" s="8"/>
      <c r="B49" s="54" t="s">
        <v>112</v>
      </c>
      <c r="C49" s="55">
        <v>43</v>
      </c>
      <c r="D49" s="55">
        <v>26</v>
      </c>
      <c r="E49" s="56" t="s">
        <v>52</v>
      </c>
      <c r="F49" s="59">
        <v>700000000</v>
      </c>
      <c r="G49" s="4" t="s">
        <v>2</v>
      </c>
      <c r="H49" s="9" t="s">
        <v>180</v>
      </c>
      <c r="I49" s="12">
        <v>43862</v>
      </c>
      <c r="J49" s="17"/>
      <c r="K49" s="17"/>
      <c r="L49" s="27"/>
      <c r="M49" s="17"/>
      <c r="N49" s="8" t="s">
        <v>202</v>
      </c>
    </row>
    <row r="50" spans="1:14" ht="33" x14ac:dyDescent="0.25">
      <c r="A50" s="8"/>
      <c r="B50" s="54" t="s">
        <v>112</v>
      </c>
      <c r="C50" s="55">
        <v>44</v>
      </c>
      <c r="D50" s="55">
        <v>27</v>
      </c>
      <c r="E50" s="56" t="s">
        <v>53</v>
      </c>
      <c r="F50" s="59">
        <v>600000000</v>
      </c>
      <c r="G50" s="3" t="s">
        <v>2</v>
      </c>
      <c r="H50" s="9" t="s">
        <v>180</v>
      </c>
      <c r="I50" s="11">
        <v>43862</v>
      </c>
      <c r="J50" s="17"/>
      <c r="K50" s="17"/>
      <c r="L50" s="27"/>
      <c r="M50" s="17"/>
      <c r="N50" s="8" t="s">
        <v>202</v>
      </c>
    </row>
    <row r="51" spans="1:14" ht="33" x14ac:dyDescent="0.25">
      <c r="A51" s="8"/>
      <c r="B51" s="54" t="s">
        <v>112</v>
      </c>
      <c r="C51" s="55">
        <v>45</v>
      </c>
      <c r="D51" s="55">
        <v>28</v>
      </c>
      <c r="E51" s="56" t="s">
        <v>54</v>
      </c>
      <c r="F51" s="59">
        <v>400000000</v>
      </c>
      <c r="G51" s="4" t="s">
        <v>2</v>
      </c>
      <c r="H51" s="9" t="s">
        <v>180</v>
      </c>
      <c r="I51" s="12">
        <v>43862</v>
      </c>
      <c r="J51" s="17"/>
      <c r="K51" s="17"/>
      <c r="L51" s="27"/>
      <c r="M51" s="17"/>
      <c r="N51" s="8" t="s">
        <v>202</v>
      </c>
    </row>
    <row r="52" spans="1:14" ht="33" x14ac:dyDescent="0.25">
      <c r="A52" s="8"/>
      <c r="B52" s="54" t="s">
        <v>112</v>
      </c>
      <c r="C52" s="55">
        <v>46</v>
      </c>
      <c r="D52" s="55">
        <v>29</v>
      </c>
      <c r="E52" s="56" t="s">
        <v>55</v>
      </c>
      <c r="F52" s="59">
        <v>500000000</v>
      </c>
      <c r="G52" s="3" t="s">
        <v>2</v>
      </c>
      <c r="H52" s="9" t="s">
        <v>180</v>
      </c>
      <c r="I52" s="11">
        <v>43862</v>
      </c>
      <c r="J52" s="17"/>
      <c r="K52" s="17"/>
      <c r="L52" s="27"/>
      <c r="M52" s="17"/>
      <c r="N52" s="8" t="s">
        <v>202</v>
      </c>
    </row>
    <row r="53" spans="1:14" ht="33" x14ac:dyDescent="0.25">
      <c r="A53" s="8"/>
      <c r="B53" s="54" t="s">
        <v>112</v>
      </c>
      <c r="C53" s="55">
        <v>47</v>
      </c>
      <c r="D53" s="55">
        <v>30</v>
      </c>
      <c r="E53" s="56" t="s">
        <v>56</v>
      </c>
      <c r="F53" s="59">
        <v>1000000000</v>
      </c>
      <c r="G53" s="4" t="s">
        <v>2</v>
      </c>
      <c r="H53" s="9" t="s">
        <v>180</v>
      </c>
      <c r="I53" s="12">
        <v>43862</v>
      </c>
      <c r="J53" s="17"/>
      <c r="K53" s="17"/>
      <c r="L53" s="27"/>
      <c r="M53" s="17"/>
      <c r="N53" s="8" t="s">
        <v>202</v>
      </c>
    </row>
    <row r="54" spans="1:14" ht="33" x14ac:dyDescent="0.25">
      <c r="A54" s="8"/>
      <c r="B54" s="54" t="s">
        <v>112</v>
      </c>
      <c r="C54" s="55">
        <v>48</v>
      </c>
      <c r="D54" s="55">
        <v>31</v>
      </c>
      <c r="E54" s="56" t="s">
        <v>57</v>
      </c>
      <c r="F54" s="59">
        <v>600000000</v>
      </c>
      <c r="G54" s="3" t="s">
        <v>2</v>
      </c>
      <c r="H54" s="9" t="s">
        <v>180</v>
      </c>
      <c r="I54" s="11">
        <v>43862</v>
      </c>
      <c r="J54" s="17"/>
      <c r="K54" s="17"/>
      <c r="L54" s="27"/>
      <c r="M54" s="17"/>
      <c r="N54" s="8" t="s">
        <v>202</v>
      </c>
    </row>
    <row r="55" spans="1:14" ht="33" x14ac:dyDescent="0.25">
      <c r="A55" s="8"/>
      <c r="B55" s="54" t="s">
        <v>112</v>
      </c>
      <c r="C55" s="55">
        <v>49</v>
      </c>
      <c r="D55" s="55">
        <v>32</v>
      </c>
      <c r="E55" s="56" t="s">
        <v>58</v>
      </c>
      <c r="F55" s="59">
        <v>700000000</v>
      </c>
      <c r="G55" s="4" t="s">
        <v>2</v>
      </c>
      <c r="H55" s="9" t="s">
        <v>180</v>
      </c>
      <c r="I55" s="12">
        <v>43862</v>
      </c>
      <c r="J55" s="17"/>
      <c r="K55" s="17"/>
      <c r="L55" s="27"/>
      <c r="M55" s="17"/>
      <c r="N55" s="8" t="s">
        <v>202</v>
      </c>
    </row>
    <row r="56" spans="1:14" ht="36.75" customHeight="1" x14ac:dyDescent="0.25">
      <c r="A56" s="8"/>
      <c r="B56" s="54" t="s">
        <v>112</v>
      </c>
      <c r="C56" s="55">
        <v>50</v>
      </c>
      <c r="D56" s="55">
        <v>33</v>
      </c>
      <c r="E56" s="56" t="s">
        <v>59</v>
      </c>
      <c r="F56" s="59">
        <v>600000000</v>
      </c>
      <c r="G56" s="3" t="s">
        <v>2</v>
      </c>
      <c r="H56" s="9" t="s">
        <v>180</v>
      </c>
      <c r="I56" s="11">
        <v>43922</v>
      </c>
      <c r="J56" s="17"/>
      <c r="K56" s="17"/>
      <c r="L56" s="27"/>
      <c r="M56" s="17"/>
      <c r="N56" s="8" t="s">
        <v>202</v>
      </c>
    </row>
    <row r="57" spans="1:14" ht="33" x14ac:dyDescent="0.25">
      <c r="A57" s="8"/>
      <c r="B57" s="54" t="s">
        <v>112</v>
      </c>
      <c r="C57" s="55">
        <v>51</v>
      </c>
      <c r="D57" s="55">
        <v>34</v>
      </c>
      <c r="E57" s="56" t="s">
        <v>60</v>
      </c>
      <c r="F57" s="59">
        <v>700000000</v>
      </c>
      <c r="G57" s="4" t="s">
        <v>2</v>
      </c>
      <c r="H57" s="9" t="s">
        <v>180</v>
      </c>
      <c r="I57" s="12">
        <v>43922</v>
      </c>
      <c r="J57" s="17"/>
      <c r="K57" s="17"/>
      <c r="L57" s="27"/>
      <c r="M57" s="17"/>
      <c r="N57" s="8" t="s">
        <v>202</v>
      </c>
    </row>
    <row r="58" spans="1:14" ht="33" x14ac:dyDescent="0.25">
      <c r="A58" s="8"/>
      <c r="B58" s="54" t="s">
        <v>112</v>
      </c>
      <c r="C58" s="55">
        <v>52</v>
      </c>
      <c r="D58" s="55">
        <v>35</v>
      </c>
      <c r="E58" s="56" t="s">
        <v>61</v>
      </c>
      <c r="F58" s="59">
        <v>600000000</v>
      </c>
      <c r="G58" s="3" t="s">
        <v>2</v>
      </c>
      <c r="H58" s="9" t="s">
        <v>180</v>
      </c>
      <c r="I58" s="11">
        <v>43922</v>
      </c>
      <c r="J58" s="17"/>
      <c r="K58" s="17"/>
      <c r="L58" s="27"/>
      <c r="M58" s="17"/>
      <c r="N58" s="8" t="s">
        <v>202</v>
      </c>
    </row>
    <row r="59" spans="1:14" ht="33" x14ac:dyDescent="0.25">
      <c r="A59" s="8"/>
      <c r="B59" s="54" t="s">
        <v>112</v>
      </c>
      <c r="C59" s="55">
        <v>53</v>
      </c>
      <c r="D59" s="55">
        <v>36</v>
      </c>
      <c r="E59" s="56" t="s">
        <v>62</v>
      </c>
      <c r="F59" s="59">
        <v>600000000</v>
      </c>
      <c r="G59" s="4" t="s">
        <v>2</v>
      </c>
      <c r="H59" s="9" t="s">
        <v>180</v>
      </c>
      <c r="I59" s="12">
        <v>43862</v>
      </c>
      <c r="J59" s="17"/>
      <c r="K59" s="17"/>
      <c r="L59" s="27"/>
      <c r="M59" s="17"/>
      <c r="N59" s="8" t="s">
        <v>202</v>
      </c>
    </row>
    <row r="60" spans="1:14" ht="33" x14ac:dyDescent="0.25">
      <c r="A60" s="8"/>
      <c r="B60" s="54" t="s">
        <v>112</v>
      </c>
      <c r="C60" s="55">
        <v>54</v>
      </c>
      <c r="D60" s="55">
        <v>37</v>
      </c>
      <c r="E60" s="56" t="s">
        <v>63</v>
      </c>
      <c r="F60" s="59">
        <v>500000000</v>
      </c>
      <c r="G60" s="3" t="s">
        <v>2</v>
      </c>
      <c r="H60" s="9" t="s">
        <v>180</v>
      </c>
      <c r="I60" s="11">
        <v>43922</v>
      </c>
      <c r="J60" s="17"/>
      <c r="K60" s="17"/>
      <c r="L60" s="27"/>
      <c r="M60" s="17"/>
      <c r="N60" s="8" t="s">
        <v>202</v>
      </c>
    </row>
    <row r="61" spans="1:14" ht="33" x14ac:dyDescent="0.25">
      <c r="A61" s="8"/>
      <c r="B61" s="54" t="s">
        <v>112</v>
      </c>
      <c r="C61" s="55">
        <v>55</v>
      </c>
      <c r="D61" s="55">
        <v>38</v>
      </c>
      <c r="E61" s="56" t="s">
        <v>64</v>
      </c>
      <c r="F61" s="59">
        <v>350000000</v>
      </c>
      <c r="G61" s="4" t="s">
        <v>2</v>
      </c>
      <c r="H61" s="9" t="s">
        <v>180</v>
      </c>
      <c r="I61" s="12">
        <v>43922</v>
      </c>
      <c r="J61" s="17"/>
      <c r="K61" s="17"/>
      <c r="L61" s="27"/>
      <c r="M61" s="17"/>
      <c r="N61" s="8" t="s">
        <v>202</v>
      </c>
    </row>
    <row r="62" spans="1:14" ht="33" customHeight="1" x14ac:dyDescent="0.25">
      <c r="A62" s="8"/>
      <c r="B62" s="54" t="s">
        <v>112</v>
      </c>
      <c r="C62" s="55">
        <v>56</v>
      </c>
      <c r="D62" s="55">
        <v>39</v>
      </c>
      <c r="E62" s="56" t="s">
        <v>65</v>
      </c>
      <c r="F62" s="59">
        <v>600000000</v>
      </c>
      <c r="G62" s="3" t="s">
        <v>2</v>
      </c>
      <c r="H62" s="9" t="s">
        <v>180</v>
      </c>
      <c r="I62" s="11">
        <v>43922</v>
      </c>
      <c r="J62" s="17"/>
      <c r="K62" s="17"/>
      <c r="L62" s="27"/>
      <c r="M62" s="17"/>
      <c r="N62" s="8" t="s">
        <v>202</v>
      </c>
    </row>
    <row r="63" spans="1:14" ht="33" customHeight="1" x14ac:dyDescent="0.25">
      <c r="A63" s="8"/>
      <c r="B63" s="54" t="s">
        <v>112</v>
      </c>
      <c r="C63" s="55">
        <v>57</v>
      </c>
      <c r="D63" s="55">
        <v>40</v>
      </c>
      <c r="E63" s="56" t="s">
        <v>66</v>
      </c>
      <c r="F63" s="59">
        <v>1050000000</v>
      </c>
      <c r="G63" s="4" t="s">
        <v>2</v>
      </c>
      <c r="H63" s="9" t="s">
        <v>180</v>
      </c>
      <c r="I63" s="12">
        <v>43922</v>
      </c>
      <c r="J63" s="17"/>
      <c r="K63" s="17"/>
      <c r="L63" s="27"/>
      <c r="M63" s="17"/>
      <c r="N63" s="8" t="s">
        <v>202</v>
      </c>
    </row>
    <row r="64" spans="1:14" ht="49.5" customHeight="1" x14ac:dyDescent="0.25">
      <c r="A64" s="8"/>
      <c r="B64" s="54" t="s">
        <v>112</v>
      </c>
      <c r="C64" s="55">
        <v>58</v>
      </c>
      <c r="D64" s="55">
        <v>41</v>
      </c>
      <c r="E64" s="56" t="s">
        <v>67</v>
      </c>
      <c r="F64" s="59">
        <v>1000000000</v>
      </c>
      <c r="G64" s="3" t="s">
        <v>2</v>
      </c>
      <c r="H64" s="9" t="s">
        <v>180</v>
      </c>
      <c r="I64" s="11">
        <v>43922</v>
      </c>
      <c r="J64" s="17"/>
      <c r="K64" s="17"/>
      <c r="L64" s="27"/>
      <c r="M64" s="17"/>
      <c r="N64" s="8" t="s">
        <v>202</v>
      </c>
    </row>
    <row r="65" spans="1:14" ht="49.5" customHeight="1" x14ac:dyDescent="0.25">
      <c r="A65" s="8"/>
      <c r="B65" s="54" t="s">
        <v>112</v>
      </c>
      <c r="C65" s="55">
        <v>59</v>
      </c>
      <c r="D65" s="55">
        <v>42</v>
      </c>
      <c r="E65" s="56" t="s">
        <v>68</v>
      </c>
      <c r="F65" s="59">
        <v>7200000000</v>
      </c>
      <c r="G65" s="4" t="s">
        <v>2</v>
      </c>
      <c r="H65" s="9" t="s">
        <v>180</v>
      </c>
      <c r="I65" s="12">
        <v>43922</v>
      </c>
      <c r="J65" s="17"/>
      <c r="K65" s="17"/>
      <c r="L65" s="27"/>
      <c r="M65" s="17"/>
      <c r="N65" s="8" t="s">
        <v>202</v>
      </c>
    </row>
    <row r="66" spans="1:14" ht="33" customHeight="1" x14ac:dyDescent="0.25">
      <c r="A66" s="8"/>
      <c r="B66" s="54" t="s">
        <v>112</v>
      </c>
      <c r="C66" s="55">
        <v>60</v>
      </c>
      <c r="D66" s="55">
        <v>43</v>
      </c>
      <c r="E66" s="56" t="s">
        <v>69</v>
      </c>
      <c r="F66" s="59">
        <v>600000000</v>
      </c>
      <c r="G66" s="3" t="s">
        <v>2</v>
      </c>
      <c r="H66" s="9" t="s">
        <v>180</v>
      </c>
      <c r="I66" s="11">
        <v>43922</v>
      </c>
      <c r="J66" s="17"/>
      <c r="K66" s="17"/>
      <c r="L66" s="27"/>
      <c r="M66" s="17"/>
      <c r="N66" s="8" t="s">
        <v>202</v>
      </c>
    </row>
    <row r="67" spans="1:14" ht="33" x14ac:dyDescent="0.25">
      <c r="A67" s="8"/>
      <c r="B67" s="54" t="s">
        <v>112</v>
      </c>
      <c r="C67" s="55">
        <v>61</v>
      </c>
      <c r="D67" s="55">
        <v>44</v>
      </c>
      <c r="E67" s="56" t="s">
        <v>70</v>
      </c>
      <c r="F67" s="59">
        <v>500000000</v>
      </c>
      <c r="G67" s="4" t="s">
        <v>2</v>
      </c>
      <c r="H67" s="9" t="s">
        <v>180</v>
      </c>
      <c r="I67" s="12">
        <v>43922</v>
      </c>
      <c r="J67" s="17"/>
      <c r="K67" s="17"/>
      <c r="L67" s="27"/>
      <c r="M67" s="17"/>
      <c r="N67" s="8" t="s">
        <v>202</v>
      </c>
    </row>
    <row r="68" spans="1:14" ht="33" customHeight="1" x14ac:dyDescent="0.25">
      <c r="A68" s="8"/>
      <c r="B68" s="54" t="s">
        <v>112</v>
      </c>
      <c r="C68" s="55">
        <v>62</v>
      </c>
      <c r="D68" s="55">
        <v>45</v>
      </c>
      <c r="E68" s="56" t="s">
        <v>71</v>
      </c>
      <c r="F68" s="59">
        <v>500000000</v>
      </c>
      <c r="G68" s="3" t="s">
        <v>2</v>
      </c>
      <c r="H68" s="9" t="s">
        <v>180</v>
      </c>
      <c r="I68" s="11">
        <v>43862</v>
      </c>
      <c r="J68" s="17"/>
      <c r="K68" s="17"/>
      <c r="L68" s="27"/>
      <c r="M68" s="17"/>
      <c r="N68" s="8" t="s">
        <v>202</v>
      </c>
    </row>
    <row r="69" spans="1:14" ht="33" x14ac:dyDescent="0.25">
      <c r="A69" s="8"/>
      <c r="B69" s="54" t="s">
        <v>112</v>
      </c>
      <c r="C69" s="55">
        <v>63</v>
      </c>
      <c r="D69" s="55">
        <v>46</v>
      </c>
      <c r="E69" s="56" t="s">
        <v>72</v>
      </c>
      <c r="F69" s="59">
        <v>800000000</v>
      </c>
      <c r="G69" s="4" t="s">
        <v>2</v>
      </c>
      <c r="H69" s="9" t="s">
        <v>180</v>
      </c>
      <c r="I69" s="12">
        <v>43862</v>
      </c>
      <c r="J69" s="17"/>
      <c r="K69" s="17"/>
      <c r="L69" s="27"/>
      <c r="M69" s="17"/>
      <c r="N69" s="8" t="s">
        <v>202</v>
      </c>
    </row>
    <row r="70" spans="1:14" ht="33" x14ac:dyDescent="0.25">
      <c r="A70" s="8"/>
      <c r="B70" s="54" t="s">
        <v>112</v>
      </c>
      <c r="C70" s="55">
        <v>64</v>
      </c>
      <c r="D70" s="55">
        <v>47</v>
      </c>
      <c r="E70" s="56" t="s">
        <v>73</v>
      </c>
      <c r="F70" s="59">
        <v>500000000</v>
      </c>
      <c r="G70" s="3" t="s">
        <v>2</v>
      </c>
      <c r="H70" s="9" t="s">
        <v>180</v>
      </c>
      <c r="I70" s="11">
        <v>43862</v>
      </c>
      <c r="J70" s="17"/>
      <c r="K70" s="17"/>
      <c r="L70" s="27"/>
      <c r="M70" s="17"/>
      <c r="N70" s="8" t="s">
        <v>202</v>
      </c>
    </row>
    <row r="71" spans="1:14" ht="49.5" customHeight="1" x14ac:dyDescent="0.25">
      <c r="A71" s="8"/>
      <c r="B71" s="54" t="s">
        <v>112</v>
      </c>
      <c r="C71" s="55">
        <v>65</v>
      </c>
      <c r="D71" s="55">
        <v>48</v>
      </c>
      <c r="E71" s="56" t="s">
        <v>74</v>
      </c>
      <c r="F71" s="59">
        <v>350000000</v>
      </c>
      <c r="G71" s="4" t="s">
        <v>2</v>
      </c>
      <c r="H71" s="9" t="s">
        <v>180</v>
      </c>
      <c r="I71" s="12">
        <v>43922</v>
      </c>
      <c r="J71" s="17"/>
      <c r="K71" s="17"/>
      <c r="L71" s="27"/>
      <c r="M71" s="17"/>
      <c r="N71" s="8" t="s">
        <v>202</v>
      </c>
    </row>
    <row r="72" spans="1:14" ht="33" customHeight="1" x14ac:dyDescent="0.25">
      <c r="A72" s="8"/>
      <c r="B72" s="54" t="s">
        <v>112</v>
      </c>
      <c r="C72" s="55">
        <v>66</v>
      </c>
      <c r="D72" s="55">
        <v>49</v>
      </c>
      <c r="E72" s="56" t="s">
        <v>75</v>
      </c>
      <c r="F72" s="59">
        <v>400000000</v>
      </c>
      <c r="G72" s="3" t="s">
        <v>2</v>
      </c>
      <c r="H72" s="9" t="s">
        <v>180</v>
      </c>
      <c r="I72" s="11">
        <v>43922</v>
      </c>
      <c r="J72" s="17"/>
      <c r="K72" s="17"/>
      <c r="L72" s="27"/>
      <c r="M72" s="17"/>
      <c r="N72" s="8" t="s">
        <v>202</v>
      </c>
    </row>
    <row r="73" spans="1:14" ht="33" x14ac:dyDescent="0.25">
      <c r="A73" s="8"/>
      <c r="B73" s="54" t="s">
        <v>112</v>
      </c>
      <c r="C73" s="55">
        <v>67</v>
      </c>
      <c r="D73" s="55">
        <v>50</v>
      </c>
      <c r="E73" s="56" t="s">
        <v>76</v>
      </c>
      <c r="F73" s="59">
        <v>700000000</v>
      </c>
      <c r="G73" s="4" t="s">
        <v>2</v>
      </c>
      <c r="H73" s="9" t="s">
        <v>180</v>
      </c>
      <c r="I73" s="12">
        <v>43922</v>
      </c>
      <c r="J73" s="17"/>
      <c r="K73" s="17"/>
      <c r="L73" s="27"/>
      <c r="M73" s="17"/>
      <c r="N73" s="8" t="s">
        <v>202</v>
      </c>
    </row>
    <row r="74" spans="1:14" ht="33" x14ac:dyDescent="0.25">
      <c r="A74" s="8"/>
      <c r="B74" s="54" t="s">
        <v>112</v>
      </c>
      <c r="C74" s="55">
        <v>68</v>
      </c>
      <c r="D74" s="55">
        <v>51</v>
      </c>
      <c r="E74" s="56" t="s">
        <v>77</v>
      </c>
      <c r="F74" s="59">
        <v>250000000</v>
      </c>
      <c r="G74" s="3" t="s">
        <v>2</v>
      </c>
      <c r="H74" s="9" t="s">
        <v>180</v>
      </c>
      <c r="I74" s="11">
        <v>43922</v>
      </c>
      <c r="J74" s="17"/>
      <c r="K74" s="17"/>
      <c r="L74" s="27"/>
      <c r="M74" s="17"/>
      <c r="N74" s="8" t="s">
        <v>202</v>
      </c>
    </row>
    <row r="75" spans="1:14" ht="33" x14ac:dyDescent="0.25">
      <c r="A75" s="8"/>
      <c r="B75" s="54" t="s">
        <v>112</v>
      </c>
      <c r="C75" s="55">
        <v>69</v>
      </c>
      <c r="D75" s="55">
        <v>52</v>
      </c>
      <c r="E75" s="56" t="s">
        <v>78</v>
      </c>
      <c r="F75" s="59">
        <v>280000000</v>
      </c>
      <c r="G75" s="4" t="s">
        <v>2</v>
      </c>
      <c r="H75" s="9" t="s">
        <v>180</v>
      </c>
      <c r="I75" s="12">
        <v>43922</v>
      </c>
      <c r="J75" s="17"/>
      <c r="K75" s="17"/>
      <c r="L75" s="27"/>
      <c r="M75" s="17"/>
      <c r="N75" s="8" t="s">
        <v>202</v>
      </c>
    </row>
    <row r="76" spans="1:14" ht="33" x14ac:dyDescent="0.25">
      <c r="A76" s="8"/>
      <c r="B76" s="54" t="s">
        <v>112</v>
      </c>
      <c r="C76" s="55">
        <v>70</v>
      </c>
      <c r="D76" s="55">
        <v>53</v>
      </c>
      <c r="E76" s="56" t="s">
        <v>79</v>
      </c>
      <c r="F76" s="59">
        <v>300000000</v>
      </c>
      <c r="G76" s="3" t="s">
        <v>2</v>
      </c>
      <c r="H76" s="9" t="s">
        <v>180</v>
      </c>
      <c r="I76" s="11">
        <v>43922</v>
      </c>
      <c r="J76" s="17"/>
      <c r="K76" s="17"/>
      <c r="L76" s="27"/>
      <c r="M76" s="17"/>
      <c r="N76" s="8" t="s">
        <v>202</v>
      </c>
    </row>
    <row r="77" spans="1:14" ht="33" customHeight="1" x14ac:dyDescent="0.25">
      <c r="A77" s="8"/>
      <c r="B77" s="54" t="s">
        <v>112</v>
      </c>
      <c r="C77" s="55">
        <v>71</v>
      </c>
      <c r="D77" s="55">
        <v>54</v>
      </c>
      <c r="E77" s="56" t="s">
        <v>80</v>
      </c>
      <c r="F77" s="59">
        <v>250000000</v>
      </c>
      <c r="G77" s="4" t="s">
        <v>2</v>
      </c>
      <c r="H77" s="9" t="s">
        <v>180</v>
      </c>
      <c r="I77" s="12">
        <v>43922</v>
      </c>
      <c r="J77" s="17"/>
      <c r="K77" s="17"/>
      <c r="L77" s="27"/>
      <c r="M77" s="17"/>
      <c r="N77" s="8" t="s">
        <v>202</v>
      </c>
    </row>
    <row r="78" spans="1:14" ht="33" x14ac:dyDescent="0.25">
      <c r="A78" s="8"/>
      <c r="B78" s="54" t="s">
        <v>112</v>
      </c>
      <c r="C78" s="55">
        <v>72</v>
      </c>
      <c r="D78" s="55">
        <v>55</v>
      </c>
      <c r="E78" s="56" t="s">
        <v>81</v>
      </c>
      <c r="F78" s="59">
        <v>300000000</v>
      </c>
      <c r="G78" s="3" t="s">
        <v>2</v>
      </c>
      <c r="H78" s="9" t="s">
        <v>180</v>
      </c>
      <c r="I78" s="11">
        <v>43922</v>
      </c>
      <c r="J78" s="17"/>
      <c r="K78" s="17"/>
      <c r="L78" s="27"/>
      <c r="M78" s="17"/>
      <c r="N78" s="8" t="s">
        <v>202</v>
      </c>
    </row>
    <row r="79" spans="1:14" ht="33" x14ac:dyDescent="0.25">
      <c r="A79" s="8"/>
      <c r="B79" s="54" t="s">
        <v>112</v>
      </c>
      <c r="C79" s="55">
        <v>73</v>
      </c>
      <c r="D79" s="55">
        <v>56</v>
      </c>
      <c r="E79" s="56" t="s">
        <v>82</v>
      </c>
      <c r="F79" s="59">
        <v>300000000</v>
      </c>
      <c r="G79" s="4" t="s">
        <v>2</v>
      </c>
      <c r="H79" s="9" t="s">
        <v>180</v>
      </c>
      <c r="I79" s="12">
        <v>43922</v>
      </c>
      <c r="J79" s="17"/>
      <c r="K79" s="17"/>
      <c r="L79" s="27"/>
      <c r="M79" s="17"/>
      <c r="N79" s="8" t="s">
        <v>202</v>
      </c>
    </row>
    <row r="80" spans="1:14" ht="33" x14ac:dyDescent="0.25">
      <c r="A80" s="8"/>
      <c r="B80" s="54" t="s">
        <v>112</v>
      </c>
      <c r="C80" s="55">
        <v>74</v>
      </c>
      <c r="D80" s="55">
        <v>57</v>
      </c>
      <c r="E80" s="56" t="s">
        <v>83</v>
      </c>
      <c r="F80" s="59">
        <v>333415000</v>
      </c>
      <c r="G80" s="3" t="s">
        <v>2</v>
      </c>
      <c r="H80" s="9" t="s">
        <v>180</v>
      </c>
      <c r="I80" s="11">
        <v>43922</v>
      </c>
      <c r="J80" s="17"/>
      <c r="K80" s="17"/>
      <c r="L80" s="27"/>
      <c r="M80" s="17"/>
      <c r="N80" s="8" t="s">
        <v>202</v>
      </c>
    </row>
    <row r="81" spans="1:14" ht="33" x14ac:dyDescent="0.25">
      <c r="A81" s="8"/>
      <c r="B81" s="54" t="s">
        <v>112</v>
      </c>
      <c r="C81" s="55">
        <v>75</v>
      </c>
      <c r="D81" s="55">
        <v>58</v>
      </c>
      <c r="E81" s="56" t="s">
        <v>84</v>
      </c>
      <c r="F81" s="59">
        <v>1000000000</v>
      </c>
      <c r="G81" s="4" t="s">
        <v>2</v>
      </c>
      <c r="H81" s="9" t="s">
        <v>180</v>
      </c>
      <c r="I81" s="12">
        <v>43922</v>
      </c>
      <c r="J81" s="17"/>
      <c r="K81" s="17"/>
      <c r="L81" s="27"/>
      <c r="M81" s="17"/>
      <c r="N81" s="8" t="s">
        <v>202</v>
      </c>
    </row>
    <row r="82" spans="1:14" ht="33" customHeight="1" x14ac:dyDescent="0.25">
      <c r="A82" s="8"/>
      <c r="B82" s="54" t="s">
        <v>112</v>
      </c>
      <c r="C82" s="55">
        <v>76</v>
      </c>
      <c r="D82" s="55">
        <v>59</v>
      </c>
      <c r="E82" s="56" t="s">
        <v>85</v>
      </c>
      <c r="F82" s="59">
        <v>1000000000</v>
      </c>
      <c r="G82" s="3" t="s">
        <v>2</v>
      </c>
      <c r="H82" s="9" t="s">
        <v>180</v>
      </c>
      <c r="I82" s="11">
        <v>43922</v>
      </c>
      <c r="J82" s="17"/>
      <c r="K82" s="17"/>
      <c r="L82" s="27"/>
      <c r="M82" s="17"/>
      <c r="N82" s="8" t="s">
        <v>202</v>
      </c>
    </row>
    <row r="83" spans="1:14" ht="33" x14ac:dyDescent="0.25">
      <c r="A83" s="8"/>
      <c r="B83" s="54" t="s">
        <v>112</v>
      </c>
      <c r="C83" s="55">
        <v>77</v>
      </c>
      <c r="D83" s="55">
        <v>60</v>
      </c>
      <c r="E83" s="56" t="s">
        <v>86</v>
      </c>
      <c r="F83" s="59">
        <v>1000000000</v>
      </c>
      <c r="G83" s="4" t="s">
        <v>2</v>
      </c>
      <c r="H83" s="9" t="s">
        <v>180</v>
      </c>
      <c r="I83" s="12">
        <v>43922</v>
      </c>
      <c r="J83" s="17"/>
      <c r="K83" s="17"/>
      <c r="L83" s="27"/>
      <c r="M83" s="17"/>
      <c r="N83" s="8" t="s">
        <v>202</v>
      </c>
    </row>
    <row r="84" spans="1:14" ht="33" x14ac:dyDescent="0.25">
      <c r="A84" s="8"/>
      <c r="B84" s="54" t="s">
        <v>112</v>
      </c>
      <c r="C84" s="55">
        <v>78</v>
      </c>
      <c r="D84" s="55">
        <v>61</v>
      </c>
      <c r="E84" s="56" t="s">
        <v>87</v>
      </c>
      <c r="F84" s="59">
        <v>700000000</v>
      </c>
      <c r="G84" s="3" t="s">
        <v>2</v>
      </c>
      <c r="H84" s="9" t="s">
        <v>180</v>
      </c>
      <c r="I84" s="11">
        <v>43922</v>
      </c>
      <c r="J84" s="17"/>
      <c r="K84" s="17"/>
      <c r="L84" s="27"/>
      <c r="M84" s="17"/>
      <c r="N84" s="8" t="s">
        <v>202</v>
      </c>
    </row>
    <row r="85" spans="1:14" ht="33" x14ac:dyDescent="0.25">
      <c r="A85" s="8"/>
      <c r="B85" s="54" t="s">
        <v>112</v>
      </c>
      <c r="C85" s="55">
        <v>79</v>
      </c>
      <c r="D85" s="55">
        <v>62</v>
      </c>
      <c r="E85" s="56" t="s">
        <v>88</v>
      </c>
      <c r="F85" s="59">
        <v>2500000000</v>
      </c>
      <c r="G85" s="4" t="s">
        <v>2</v>
      </c>
      <c r="H85" s="9" t="s">
        <v>180</v>
      </c>
      <c r="I85" s="12">
        <v>43891</v>
      </c>
      <c r="J85" s="17"/>
      <c r="K85" s="17"/>
      <c r="L85" s="27"/>
      <c r="M85" s="17"/>
      <c r="N85" s="8" t="s">
        <v>202</v>
      </c>
    </row>
    <row r="86" spans="1:14" ht="49.5" x14ac:dyDescent="0.25">
      <c r="A86" s="8"/>
      <c r="B86" s="54" t="s">
        <v>112</v>
      </c>
      <c r="C86" s="55">
        <v>80</v>
      </c>
      <c r="D86" s="55">
        <v>63</v>
      </c>
      <c r="E86" s="56" t="s">
        <v>89</v>
      </c>
      <c r="F86" s="59">
        <v>1500000000</v>
      </c>
      <c r="G86" s="3" t="s">
        <v>2</v>
      </c>
      <c r="H86" s="9" t="s">
        <v>180</v>
      </c>
      <c r="I86" s="11">
        <v>43891</v>
      </c>
      <c r="J86" s="17"/>
      <c r="K86" s="17"/>
      <c r="L86" s="27"/>
      <c r="M86" s="17"/>
      <c r="N86" s="8" t="s">
        <v>202</v>
      </c>
    </row>
    <row r="87" spans="1:14" ht="49.5" customHeight="1" x14ac:dyDescent="0.25">
      <c r="A87" s="8"/>
      <c r="B87" s="54" t="s">
        <v>112</v>
      </c>
      <c r="C87" s="55">
        <v>81</v>
      </c>
      <c r="D87" s="55">
        <v>64</v>
      </c>
      <c r="E87" s="56" t="s">
        <v>90</v>
      </c>
      <c r="F87" s="59">
        <v>865000000</v>
      </c>
      <c r="G87" s="4" t="s">
        <v>2</v>
      </c>
      <c r="H87" s="9" t="s">
        <v>180</v>
      </c>
      <c r="I87" s="12">
        <v>43891</v>
      </c>
      <c r="J87" s="17"/>
      <c r="K87" s="17"/>
      <c r="L87" s="27"/>
      <c r="M87" s="17"/>
      <c r="N87" s="8" t="s">
        <v>202</v>
      </c>
    </row>
    <row r="88" spans="1:14" ht="33" x14ac:dyDescent="0.25">
      <c r="A88" s="8"/>
      <c r="B88" s="54" t="s">
        <v>112</v>
      </c>
      <c r="C88" s="55">
        <v>82</v>
      </c>
      <c r="D88" s="55">
        <v>65</v>
      </c>
      <c r="E88" s="56" t="s">
        <v>91</v>
      </c>
      <c r="F88" s="59">
        <v>300000000</v>
      </c>
      <c r="G88" s="3" t="s">
        <v>2</v>
      </c>
      <c r="H88" s="9" t="s">
        <v>180</v>
      </c>
      <c r="I88" s="11">
        <v>43891</v>
      </c>
      <c r="J88" s="17"/>
      <c r="K88" s="17"/>
      <c r="L88" s="27"/>
      <c r="M88" s="17"/>
      <c r="N88" s="8" t="s">
        <v>202</v>
      </c>
    </row>
    <row r="89" spans="1:14" ht="49.5" customHeight="1" x14ac:dyDescent="0.25">
      <c r="A89" s="8"/>
      <c r="B89" s="54" t="s">
        <v>112</v>
      </c>
      <c r="C89" s="55">
        <v>83</v>
      </c>
      <c r="D89" s="55">
        <v>66</v>
      </c>
      <c r="E89" s="56" t="s">
        <v>92</v>
      </c>
      <c r="F89" s="59">
        <v>600000000</v>
      </c>
      <c r="G89" s="4" t="s">
        <v>2</v>
      </c>
      <c r="H89" s="9" t="s">
        <v>180</v>
      </c>
      <c r="I89" s="12">
        <v>43891</v>
      </c>
      <c r="J89" s="17"/>
      <c r="K89" s="17"/>
      <c r="L89" s="27"/>
      <c r="M89" s="17"/>
      <c r="N89" s="8" t="s">
        <v>202</v>
      </c>
    </row>
    <row r="90" spans="1:14" ht="49.5" customHeight="1" x14ac:dyDescent="0.25">
      <c r="A90" s="8"/>
      <c r="B90" s="54" t="s">
        <v>112</v>
      </c>
      <c r="C90" s="55">
        <v>84</v>
      </c>
      <c r="D90" s="55">
        <v>67</v>
      </c>
      <c r="E90" s="56" t="s">
        <v>93</v>
      </c>
      <c r="F90" s="59">
        <v>500000000</v>
      </c>
      <c r="G90" s="3" t="s">
        <v>2</v>
      </c>
      <c r="H90" s="9" t="s">
        <v>180</v>
      </c>
      <c r="I90" s="11">
        <v>43891</v>
      </c>
      <c r="J90" s="17"/>
      <c r="K90" s="17"/>
      <c r="L90" s="27"/>
      <c r="M90" s="17"/>
      <c r="N90" s="8" t="s">
        <v>202</v>
      </c>
    </row>
    <row r="91" spans="1:14" ht="33" x14ac:dyDescent="0.25">
      <c r="A91" s="8"/>
      <c r="B91" s="54" t="s">
        <v>112</v>
      </c>
      <c r="C91" s="55">
        <v>85</v>
      </c>
      <c r="D91" s="55">
        <v>68</v>
      </c>
      <c r="E91" s="56" t="s">
        <v>94</v>
      </c>
      <c r="F91" s="59">
        <v>16430000000</v>
      </c>
      <c r="G91" s="4" t="s">
        <v>2</v>
      </c>
      <c r="H91" s="9" t="s">
        <v>180</v>
      </c>
      <c r="I91" s="12">
        <v>43891</v>
      </c>
      <c r="J91" s="17"/>
      <c r="K91" s="17"/>
      <c r="L91" s="27"/>
      <c r="M91" s="17"/>
      <c r="N91" s="8" t="s">
        <v>202</v>
      </c>
    </row>
    <row r="92" spans="1:14" ht="49.5" x14ac:dyDescent="0.25">
      <c r="A92" s="8"/>
      <c r="B92" s="54" t="s">
        <v>112</v>
      </c>
      <c r="C92" s="55">
        <v>86</v>
      </c>
      <c r="D92" s="55">
        <v>69</v>
      </c>
      <c r="E92" s="56" t="s">
        <v>95</v>
      </c>
      <c r="F92" s="59">
        <v>1500000000</v>
      </c>
      <c r="G92" s="3" t="s">
        <v>2</v>
      </c>
      <c r="H92" s="9" t="s">
        <v>180</v>
      </c>
      <c r="I92" s="11">
        <v>43891</v>
      </c>
      <c r="J92" s="17"/>
      <c r="K92" s="17"/>
      <c r="L92" s="27"/>
      <c r="M92" s="17"/>
      <c r="N92" s="8" t="s">
        <v>202</v>
      </c>
    </row>
    <row r="93" spans="1:14" ht="49.5" customHeight="1" x14ac:dyDescent="0.25">
      <c r="A93" s="8"/>
      <c r="B93" s="54" t="s">
        <v>112</v>
      </c>
      <c r="C93" s="55">
        <v>87</v>
      </c>
      <c r="D93" s="55">
        <v>70</v>
      </c>
      <c r="E93" s="56" t="s">
        <v>96</v>
      </c>
      <c r="F93" s="59">
        <v>1500000000</v>
      </c>
      <c r="G93" s="4" t="s">
        <v>2</v>
      </c>
      <c r="H93" s="9" t="s">
        <v>180</v>
      </c>
      <c r="I93" s="12">
        <v>43891</v>
      </c>
      <c r="J93" s="17"/>
      <c r="K93" s="17"/>
      <c r="L93" s="27"/>
      <c r="M93" s="17"/>
      <c r="N93" s="8" t="s">
        <v>202</v>
      </c>
    </row>
    <row r="94" spans="1:14" ht="49.5" customHeight="1" x14ac:dyDescent="0.25">
      <c r="A94" s="8"/>
      <c r="B94" s="54" t="s">
        <v>112</v>
      </c>
      <c r="C94" s="55">
        <v>88</v>
      </c>
      <c r="D94" s="55">
        <v>71</v>
      </c>
      <c r="E94" s="56" t="s">
        <v>97</v>
      </c>
      <c r="F94" s="59">
        <v>750000000</v>
      </c>
      <c r="G94" s="3" t="s">
        <v>2</v>
      </c>
      <c r="H94" s="9" t="s">
        <v>180</v>
      </c>
      <c r="I94" s="11">
        <v>43891</v>
      </c>
      <c r="J94" s="17"/>
      <c r="K94" s="17"/>
      <c r="L94" s="27"/>
      <c r="M94" s="17"/>
      <c r="N94" s="8" t="s">
        <v>202</v>
      </c>
    </row>
    <row r="95" spans="1:14" ht="33" x14ac:dyDescent="0.25">
      <c r="A95" s="8"/>
      <c r="B95" s="54" t="s">
        <v>112</v>
      </c>
      <c r="C95" s="55">
        <v>89</v>
      </c>
      <c r="D95" s="55">
        <v>72</v>
      </c>
      <c r="E95" s="56" t="s">
        <v>98</v>
      </c>
      <c r="F95" s="59">
        <v>500000000</v>
      </c>
      <c r="G95" s="4" t="s">
        <v>2</v>
      </c>
      <c r="H95" s="9" t="s">
        <v>180</v>
      </c>
      <c r="I95" s="12">
        <v>43891</v>
      </c>
      <c r="J95" s="17"/>
      <c r="K95" s="17"/>
      <c r="L95" s="27"/>
      <c r="M95" s="17"/>
      <c r="N95" s="8" t="s">
        <v>202</v>
      </c>
    </row>
    <row r="96" spans="1:14" ht="49.5" customHeight="1" x14ac:dyDescent="0.25">
      <c r="A96" s="8"/>
      <c r="B96" s="54" t="s">
        <v>112</v>
      </c>
      <c r="C96" s="55">
        <v>90</v>
      </c>
      <c r="D96" s="55">
        <v>73</v>
      </c>
      <c r="E96" s="56" t="s">
        <v>99</v>
      </c>
      <c r="F96" s="59">
        <v>1100000000</v>
      </c>
      <c r="G96" s="3" t="s">
        <v>2</v>
      </c>
      <c r="H96" s="9" t="s">
        <v>180</v>
      </c>
      <c r="I96" s="11">
        <v>43891</v>
      </c>
      <c r="J96" s="17"/>
      <c r="K96" s="17"/>
      <c r="L96" s="27"/>
      <c r="M96" s="17"/>
      <c r="N96" s="8" t="s">
        <v>202</v>
      </c>
    </row>
    <row r="97" spans="1:14" ht="33" x14ac:dyDescent="0.25">
      <c r="A97" s="8"/>
      <c r="B97" s="54" t="s">
        <v>112</v>
      </c>
      <c r="C97" s="55">
        <v>91</v>
      </c>
      <c r="D97" s="55">
        <v>74</v>
      </c>
      <c r="E97" s="56" t="s">
        <v>100</v>
      </c>
      <c r="F97" s="59">
        <v>300000000</v>
      </c>
      <c r="G97" s="4" t="s">
        <v>2</v>
      </c>
      <c r="H97" s="9" t="s">
        <v>180</v>
      </c>
      <c r="I97" s="12">
        <v>43891</v>
      </c>
      <c r="J97" s="17"/>
      <c r="K97" s="17"/>
      <c r="L97" s="27"/>
      <c r="M97" s="17"/>
      <c r="N97" s="8" t="s">
        <v>202</v>
      </c>
    </row>
    <row r="98" spans="1:14" ht="33" x14ac:dyDescent="0.25">
      <c r="A98" s="8"/>
      <c r="B98" s="54" t="s">
        <v>112</v>
      </c>
      <c r="C98" s="55">
        <v>92</v>
      </c>
      <c r="D98" s="55">
        <v>75</v>
      </c>
      <c r="E98" s="56" t="s">
        <v>101</v>
      </c>
      <c r="F98" s="59">
        <v>1000000000</v>
      </c>
      <c r="G98" s="3" t="s">
        <v>2</v>
      </c>
      <c r="H98" s="9" t="s">
        <v>180</v>
      </c>
      <c r="I98" s="11">
        <v>43891</v>
      </c>
      <c r="J98" s="17"/>
      <c r="K98" s="17"/>
      <c r="L98" s="27"/>
      <c r="M98" s="17"/>
      <c r="N98" s="8" t="s">
        <v>202</v>
      </c>
    </row>
    <row r="99" spans="1:14" ht="49.5" x14ac:dyDescent="0.25">
      <c r="A99" s="8"/>
      <c r="B99" s="54" t="s">
        <v>112</v>
      </c>
      <c r="C99" s="55">
        <v>93</v>
      </c>
      <c r="D99" s="55">
        <v>76</v>
      </c>
      <c r="E99" s="56" t="s">
        <v>102</v>
      </c>
      <c r="F99" s="59">
        <v>500000000</v>
      </c>
      <c r="G99" s="4" t="s">
        <v>2</v>
      </c>
      <c r="H99" s="9" t="s">
        <v>180</v>
      </c>
      <c r="I99" s="12">
        <v>43891</v>
      </c>
      <c r="J99" s="17"/>
      <c r="K99" s="17"/>
      <c r="L99" s="27"/>
      <c r="M99" s="17"/>
      <c r="N99" s="8" t="s">
        <v>202</v>
      </c>
    </row>
    <row r="100" spans="1:14" ht="49.5" customHeight="1" x14ac:dyDescent="0.25">
      <c r="A100" s="8"/>
      <c r="B100" s="54" t="s">
        <v>112</v>
      </c>
      <c r="C100" s="55">
        <v>94</v>
      </c>
      <c r="D100" s="55">
        <v>77</v>
      </c>
      <c r="E100" s="56" t="s">
        <v>103</v>
      </c>
      <c r="F100" s="59">
        <v>500000000</v>
      </c>
      <c r="G100" s="3" t="s">
        <v>2</v>
      </c>
      <c r="H100" s="9" t="s">
        <v>180</v>
      </c>
      <c r="I100" s="11">
        <v>43891</v>
      </c>
      <c r="J100" s="17"/>
      <c r="K100" s="17"/>
      <c r="L100" s="27"/>
      <c r="M100" s="17"/>
      <c r="N100" s="8" t="s">
        <v>202</v>
      </c>
    </row>
    <row r="101" spans="1:14" ht="49.5" customHeight="1" x14ac:dyDescent="0.25">
      <c r="A101" s="8"/>
      <c r="B101" s="54" t="s">
        <v>112</v>
      </c>
      <c r="C101" s="55">
        <v>95</v>
      </c>
      <c r="D101" s="55">
        <v>78</v>
      </c>
      <c r="E101" s="56" t="s">
        <v>104</v>
      </c>
      <c r="F101" s="59">
        <v>1000000000</v>
      </c>
      <c r="G101" s="4" t="s">
        <v>2</v>
      </c>
      <c r="H101" s="9" t="s">
        <v>180</v>
      </c>
      <c r="I101" s="12">
        <v>43891</v>
      </c>
      <c r="J101" s="17"/>
      <c r="K101" s="17"/>
      <c r="L101" s="27"/>
      <c r="M101" s="17"/>
      <c r="N101" s="8" t="s">
        <v>202</v>
      </c>
    </row>
    <row r="102" spans="1:14" ht="49.5" customHeight="1" x14ac:dyDescent="0.25">
      <c r="A102" s="8"/>
      <c r="B102" s="54" t="s">
        <v>112</v>
      </c>
      <c r="C102" s="55">
        <v>96</v>
      </c>
      <c r="D102" s="55">
        <v>79</v>
      </c>
      <c r="E102" s="56" t="s">
        <v>105</v>
      </c>
      <c r="F102" s="59">
        <v>700000000</v>
      </c>
      <c r="G102" s="3" t="s">
        <v>2</v>
      </c>
      <c r="H102" s="9" t="s">
        <v>180</v>
      </c>
      <c r="I102" s="11">
        <v>43922</v>
      </c>
      <c r="J102" s="17"/>
      <c r="K102" s="17"/>
      <c r="L102" s="27"/>
      <c r="M102" s="17"/>
      <c r="N102" s="8" t="s">
        <v>202</v>
      </c>
    </row>
    <row r="103" spans="1:14" ht="49.5" customHeight="1" x14ac:dyDescent="0.25">
      <c r="A103" s="8"/>
      <c r="B103" s="54" t="s">
        <v>112</v>
      </c>
      <c r="C103" s="55">
        <v>97</v>
      </c>
      <c r="D103" s="55">
        <v>80</v>
      </c>
      <c r="E103" s="56" t="s">
        <v>106</v>
      </c>
      <c r="F103" s="59">
        <v>2700000000</v>
      </c>
      <c r="G103" s="4" t="s">
        <v>2</v>
      </c>
      <c r="H103" s="9" t="s">
        <v>180</v>
      </c>
      <c r="I103" s="12">
        <v>43891</v>
      </c>
      <c r="J103" s="17"/>
      <c r="K103" s="17"/>
      <c r="L103" s="27"/>
      <c r="M103" s="17"/>
      <c r="N103" s="8" t="s">
        <v>202</v>
      </c>
    </row>
    <row r="104" spans="1:14" ht="49.5" x14ac:dyDescent="0.25">
      <c r="A104" s="8"/>
      <c r="B104" s="54" t="s">
        <v>112</v>
      </c>
      <c r="C104" s="55">
        <v>98</v>
      </c>
      <c r="D104" s="55">
        <v>81</v>
      </c>
      <c r="E104" s="56" t="s">
        <v>107</v>
      </c>
      <c r="F104" s="59">
        <v>4000000000</v>
      </c>
      <c r="G104" s="3" t="s">
        <v>2</v>
      </c>
      <c r="H104" s="9" t="s">
        <v>180</v>
      </c>
      <c r="I104" s="11">
        <v>43891</v>
      </c>
      <c r="J104" s="17"/>
      <c r="K104" s="17"/>
      <c r="L104" s="27"/>
      <c r="M104" s="17"/>
      <c r="N104" s="8" t="s">
        <v>202</v>
      </c>
    </row>
    <row r="105" spans="1:14" ht="49.5" customHeight="1" x14ac:dyDescent="0.25">
      <c r="A105" s="8"/>
      <c r="B105" s="54" t="s">
        <v>112</v>
      </c>
      <c r="C105" s="55">
        <v>99</v>
      </c>
      <c r="D105" s="55">
        <v>82</v>
      </c>
      <c r="E105" s="56" t="s">
        <v>108</v>
      </c>
      <c r="F105" s="59">
        <v>503413000</v>
      </c>
      <c r="G105" s="4" t="s">
        <v>2</v>
      </c>
      <c r="H105" s="9" t="s">
        <v>180</v>
      </c>
      <c r="I105" s="12">
        <v>43891</v>
      </c>
      <c r="J105" s="17"/>
      <c r="K105" s="17"/>
      <c r="L105" s="27"/>
      <c r="M105" s="17"/>
      <c r="N105" s="8" t="s">
        <v>202</v>
      </c>
    </row>
    <row r="106" spans="1:14" ht="49.5" customHeight="1" x14ac:dyDescent="0.25">
      <c r="A106" s="8"/>
      <c r="B106" s="54" t="s">
        <v>112</v>
      </c>
      <c r="C106" s="55">
        <v>100</v>
      </c>
      <c r="D106" s="55">
        <v>83</v>
      </c>
      <c r="E106" s="56" t="s">
        <v>109</v>
      </c>
      <c r="F106" s="59">
        <v>750000000</v>
      </c>
      <c r="G106" s="3" t="s">
        <v>2</v>
      </c>
      <c r="H106" s="9" t="s">
        <v>180</v>
      </c>
      <c r="I106" s="11">
        <v>43891</v>
      </c>
      <c r="J106" s="17"/>
      <c r="K106" s="17"/>
      <c r="L106" s="27"/>
      <c r="M106" s="17"/>
      <c r="N106" s="8" t="s">
        <v>202</v>
      </c>
    </row>
    <row r="107" spans="1:14" ht="49.5" customHeight="1" x14ac:dyDescent="0.25">
      <c r="A107" s="8"/>
      <c r="B107" s="54" t="s">
        <v>112</v>
      </c>
      <c r="C107" s="55">
        <v>101</v>
      </c>
      <c r="D107" s="55">
        <v>84</v>
      </c>
      <c r="E107" s="56" t="s">
        <v>110</v>
      </c>
      <c r="F107" s="59">
        <v>500000000</v>
      </c>
      <c r="G107" s="4" t="s">
        <v>2</v>
      </c>
      <c r="H107" s="9" t="s">
        <v>180</v>
      </c>
      <c r="I107" s="12">
        <v>43891</v>
      </c>
      <c r="J107" s="17"/>
      <c r="K107" s="17"/>
      <c r="L107" s="27"/>
      <c r="M107" s="17"/>
      <c r="N107" s="8" t="s">
        <v>202</v>
      </c>
    </row>
    <row r="108" spans="1:14" ht="33" x14ac:dyDescent="0.25">
      <c r="A108" s="8"/>
      <c r="B108" s="54" t="s">
        <v>112</v>
      </c>
      <c r="C108" s="55">
        <v>102</v>
      </c>
      <c r="D108" s="55">
        <v>85</v>
      </c>
      <c r="E108" s="56" t="s">
        <v>111</v>
      </c>
      <c r="F108" s="59">
        <v>590000000</v>
      </c>
      <c r="G108" s="2" t="s">
        <v>2</v>
      </c>
      <c r="H108" s="9" t="s">
        <v>180</v>
      </c>
      <c r="I108" s="11">
        <v>43891</v>
      </c>
      <c r="J108" s="17"/>
      <c r="K108" s="17"/>
      <c r="L108" s="27"/>
      <c r="M108" s="17"/>
      <c r="N108" s="8" t="s">
        <v>202</v>
      </c>
    </row>
    <row r="109" spans="1:14" ht="33" x14ac:dyDescent="0.25">
      <c r="A109" s="8"/>
      <c r="B109" s="54" t="s">
        <v>112</v>
      </c>
      <c r="C109" s="55">
        <v>103</v>
      </c>
      <c r="D109" s="55">
        <v>86</v>
      </c>
      <c r="E109" s="60" t="s">
        <v>221</v>
      </c>
      <c r="F109" s="59">
        <v>938000000</v>
      </c>
      <c r="G109" s="2" t="s">
        <v>2</v>
      </c>
      <c r="H109" s="9" t="s">
        <v>180</v>
      </c>
      <c r="I109" s="11">
        <v>43891</v>
      </c>
      <c r="J109" s="17"/>
      <c r="K109" s="17"/>
      <c r="L109" s="27"/>
      <c r="M109" s="17"/>
      <c r="N109" s="8" t="s">
        <v>202</v>
      </c>
    </row>
    <row r="110" spans="1:14" ht="33" x14ac:dyDescent="0.25">
      <c r="A110" s="8"/>
      <c r="B110" s="54" t="s">
        <v>112</v>
      </c>
      <c r="C110" s="55">
        <v>104</v>
      </c>
      <c r="D110" s="55">
        <v>87</v>
      </c>
      <c r="E110" s="60" t="s">
        <v>222</v>
      </c>
      <c r="F110" s="59">
        <v>600000000</v>
      </c>
      <c r="G110" s="2" t="s">
        <v>2</v>
      </c>
      <c r="H110" s="9" t="s">
        <v>180</v>
      </c>
      <c r="I110" s="11">
        <v>43891</v>
      </c>
      <c r="J110" s="17"/>
      <c r="K110" s="17"/>
      <c r="L110" s="27"/>
      <c r="M110" s="17"/>
      <c r="N110" s="8" t="s">
        <v>202</v>
      </c>
    </row>
    <row r="111" spans="1:14" ht="33" x14ac:dyDescent="0.25">
      <c r="A111" s="8"/>
      <c r="B111" s="54" t="s">
        <v>112</v>
      </c>
      <c r="C111" s="55">
        <v>105</v>
      </c>
      <c r="D111" s="55">
        <v>88</v>
      </c>
      <c r="E111" s="76" t="s">
        <v>234</v>
      </c>
      <c r="F111" s="127">
        <v>5000000000</v>
      </c>
      <c r="G111" s="7" t="s">
        <v>2</v>
      </c>
      <c r="H111" s="9" t="s">
        <v>180</v>
      </c>
      <c r="I111" s="15">
        <v>43922</v>
      </c>
      <c r="J111" s="80"/>
      <c r="K111" s="17"/>
      <c r="L111" s="27"/>
      <c r="M111" s="17"/>
      <c r="N111" s="8" t="s">
        <v>202</v>
      </c>
    </row>
    <row r="112" spans="1:14" ht="33" x14ac:dyDescent="0.25">
      <c r="A112" s="8"/>
      <c r="B112" s="54" t="s">
        <v>112</v>
      </c>
      <c r="C112" s="55">
        <v>106</v>
      </c>
      <c r="D112" s="55">
        <v>89</v>
      </c>
      <c r="E112" s="81" t="s">
        <v>235</v>
      </c>
      <c r="F112" s="128">
        <v>5000000000</v>
      </c>
      <c r="G112" s="5" t="s">
        <v>2</v>
      </c>
      <c r="H112" s="9" t="s">
        <v>180</v>
      </c>
      <c r="I112" s="13">
        <v>43922</v>
      </c>
      <c r="J112" s="83"/>
      <c r="K112" s="17"/>
      <c r="L112" s="27"/>
      <c r="M112" s="17"/>
      <c r="N112" s="8" t="s">
        <v>202</v>
      </c>
    </row>
    <row r="113" spans="1:14" ht="33" x14ac:dyDescent="0.25">
      <c r="A113" s="8"/>
      <c r="B113" s="54" t="s">
        <v>112</v>
      </c>
      <c r="C113" s="55">
        <v>107</v>
      </c>
      <c r="D113" s="55">
        <v>90</v>
      </c>
      <c r="E113" s="76" t="s">
        <v>236</v>
      </c>
      <c r="F113" s="127">
        <v>411684000</v>
      </c>
      <c r="G113" s="7" t="s">
        <v>2</v>
      </c>
      <c r="H113" s="9" t="s">
        <v>180</v>
      </c>
      <c r="I113" s="15">
        <v>43922</v>
      </c>
      <c r="J113" s="80"/>
      <c r="K113" s="17"/>
      <c r="L113" s="27"/>
      <c r="M113" s="17"/>
      <c r="N113" s="8" t="s">
        <v>202</v>
      </c>
    </row>
    <row r="114" spans="1:14" ht="33" x14ac:dyDescent="0.25">
      <c r="A114" s="8"/>
      <c r="B114" s="54" t="s">
        <v>112</v>
      </c>
      <c r="C114" s="55">
        <v>108</v>
      </c>
      <c r="D114" s="55">
        <v>91</v>
      </c>
      <c r="E114" s="81" t="s">
        <v>237</v>
      </c>
      <c r="F114" s="128">
        <v>286000000</v>
      </c>
      <c r="G114" s="5" t="s">
        <v>2</v>
      </c>
      <c r="H114" s="9" t="s">
        <v>180</v>
      </c>
      <c r="I114" s="13">
        <v>43922</v>
      </c>
      <c r="J114" s="83"/>
      <c r="K114" s="17"/>
      <c r="L114" s="27"/>
      <c r="M114" s="17"/>
      <c r="N114" s="8" t="s">
        <v>202</v>
      </c>
    </row>
    <row r="115" spans="1:14" ht="33" x14ac:dyDescent="0.25">
      <c r="A115" s="8"/>
      <c r="B115" s="54" t="s">
        <v>112</v>
      </c>
      <c r="C115" s="55">
        <v>109</v>
      </c>
      <c r="D115" s="55">
        <v>92</v>
      </c>
      <c r="E115" s="76" t="s">
        <v>238</v>
      </c>
      <c r="F115" s="127">
        <v>3054000000</v>
      </c>
      <c r="G115" s="7" t="s">
        <v>2</v>
      </c>
      <c r="H115" s="9" t="s">
        <v>180</v>
      </c>
      <c r="I115" s="15">
        <v>43922</v>
      </c>
      <c r="J115" s="80"/>
      <c r="K115" s="17"/>
      <c r="L115" s="27"/>
      <c r="M115" s="17"/>
      <c r="N115" s="8" t="s">
        <v>202</v>
      </c>
    </row>
    <row r="116" spans="1:14" ht="33" x14ac:dyDescent="0.25">
      <c r="A116" s="8"/>
      <c r="B116" s="54" t="s">
        <v>112</v>
      </c>
      <c r="C116" s="55">
        <v>110</v>
      </c>
      <c r="D116" s="55">
        <v>93</v>
      </c>
      <c r="E116" s="81" t="s">
        <v>239</v>
      </c>
      <c r="F116" s="128">
        <v>5000000000</v>
      </c>
      <c r="G116" s="5" t="s">
        <v>2</v>
      </c>
      <c r="H116" s="9" t="s">
        <v>180</v>
      </c>
      <c r="I116" s="13">
        <v>43922</v>
      </c>
      <c r="J116" s="83"/>
      <c r="K116" s="17"/>
      <c r="L116" s="27"/>
      <c r="M116" s="17"/>
      <c r="N116" s="8" t="s">
        <v>202</v>
      </c>
    </row>
    <row r="117" spans="1:14" ht="33" x14ac:dyDescent="0.25">
      <c r="A117" s="8"/>
      <c r="B117" s="54" t="s">
        <v>112</v>
      </c>
      <c r="C117" s="55">
        <v>111</v>
      </c>
      <c r="D117" s="55">
        <v>94</v>
      </c>
      <c r="E117" s="76" t="s">
        <v>240</v>
      </c>
      <c r="F117" s="127">
        <v>5040000000</v>
      </c>
      <c r="G117" s="7" t="s">
        <v>2</v>
      </c>
      <c r="H117" s="9" t="s">
        <v>180</v>
      </c>
      <c r="I117" s="15">
        <v>43922</v>
      </c>
      <c r="J117" s="80"/>
      <c r="K117" s="17"/>
      <c r="L117" s="27"/>
      <c r="M117" s="17"/>
      <c r="N117" s="8" t="s">
        <v>202</v>
      </c>
    </row>
    <row r="118" spans="1:14" ht="33.75" thickBot="1" x14ac:dyDescent="0.3">
      <c r="A118" s="8"/>
      <c r="B118" s="54" t="s">
        <v>112</v>
      </c>
      <c r="C118" s="55">
        <v>112</v>
      </c>
      <c r="D118" s="55">
        <v>95</v>
      </c>
      <c r="E118" s="156" t="s">
        <v>241</v>
      </c>
      <c r="F118" s="157">
        <v>3395468000</v>
      </c>
      <c r="G118" s="73" t="s">
        <v>2</v>
      </c>
      <c r="H118" s="74" t="s">
        <v>180</v>
      </c>
      <c r="I118" s="14">
        <v>43922</v>
      </c>
      <c r="J118" s="158"/>
      <c r="K118" s="17"/>
      <c r="L118" s="27"/>
      <c r="M118" s="17"/>
      <c r="N118" s="8" t="s">
        <v>202</v>
      </c>
    </row>
    <row r="119" spans="1:14" ht="116.25" thickBot="1" x14ac:dyDescent="0.3">
      <c r="A119" s="8"/>
      <c r="B119" s="54" t="s">
        <v>112</v>
      </c>
      <c r="C119" s="55">
        <v>113</v>
      </c>
      <c r="D119" s="55">
        <v>96</v>
      </c>
      <c r="E119" s="76" t="s">
        <v>243</v>
      </c>
      <c r="F119" s="127">
        <v>546450000</v>
      </c>
      <c r="G119" s="7" t="s">
        <v>2</v>
      </c>
      <c r="H119" s="9" t="s">
        <v>180</v>
      </c>
      <c r="I119" s="15">
        <v>43952</v>
      </c>
      <c r="J119" s="153"/>
      <c r="K119" s="17"/>
      <c r="L119" s="27"/>
      <c r="M119" s="17"/>
      <c r="N119" s="8" t="s">
        <v>202</v>
      </c>
    </row>
    <row r="120" spans="1:14" ht="99.75" thickBot="1" x14ac:dyDescent="0.3">
      <c r="A120" s="8"/>
      <c r="B120" s="54" t="s">
        <v>112</v>
      </c>
      <c r="C120" s="55">
        <v>114</v>
      </c>
      <c r="D120" s="55">
        <v>97</v>
      </c>
      <c r="E120" s="81" t="s">
        <v>244</v>
      </c>
      <c r="F120" s="128">
        <v>545050000</v>
      </c>
      <c r="G120" s="5" t="s">
        <v>2</v>
      </c>
      <c r="H120" s="9" t="s">
        <v>180</v>
      </c>
      <c r="I120" s="13">
        <v>43952</v>
      </c>
      <c r="J120" s="154"/>
      <c r="K120" s="17"/>
      <c r="L120" s="27"/>
      <c r="M120" s="17"/>
      <c r="N120" s="8" t="s">
        <v>202</v>
      </c>
    </row>
    <row r="121" spans="1:14" ht="116.25" thickBot="1" x14ac:dyDescent="0.3">
      <c r="A121" s="8"/>
      <c r="B121" s="54" t="s">
        <v>112</v>
      </c>
      <c r="C121" s="55">
        <v>115</v>
      </c>
      <c r="D121" s="55">
        <v>98</v>
      </c>
      <c r="E121" s="76" t="s">
        <v>245</v>
      </c>
      <c r="F121" s="127">
        <v>519050000</v>
      </c>
      <c r="G121" s="7" t="s">
        <v>2</v>
      </c>
      <c r="H121" s="9" t="s">
        <v>180</v>
      </c>
      <c r="I121" s="15">
        <v>43952</v>
      </c>
      <c r="J121" s="153"/>
      <c r="K121" s="17"/>
      <c r="L121" s="27"/>
      <c r="M121" s="17"/>
      <c r="N121" s="8" t="s">
        <v>202</v>
      </c>
    </row>
    <row r="122" spans="1:14" ht="116.25" thickBot="1" x14ac:dyDescent="0.3">
      <c r="A122" s="8"/>
      <c r="B122" s="54" t="s">
        <v>112</v>
      </c>
      <c r="C122" s="55">
        <v>116</v>
      </c>
      <c r="D122" s="55">
        <v>99</v>
      </c>
      <c r="E122" s="81" t="s">
        <v>246</v>
      </c>
      <c r="F122" s="128">
        <v>558354000</v>
      </c>
      <c r="G122" s="5" t="s">
        <v>2</v>
      </c>
      <c r="H122" s="9" t="s">
        <v>180</v>
      </c>
      <c r="I122" s="13">
        <v>43952</v>
      </c>
      <c r="J122" s="154"/>
      <c r="K122" s="17"/>
      <c r="L122" s="27"/>
      <c r="M122" s="17"/>
      <c r="N122" s="8" t="s">
        <v>202</v>
      </c>
    </row>
    <row r="123" spans="1:14" ht="116.25" thickBot="1" x14ac:dyDescent="0.3">
      <c r="A123" s="8"/>
      <c r="B123" s="54" t="s">
        <v>112</v>
      </c>
      <c r="C123" s="55">
        <v>117</v>
      </c>
      <c r="D123" s="55">
        <v>100</v>
      </c>
      <c r="E123" s="76" t="s">
        <v>247</v>
      </c>
      <c r="F123" s="127">
        <v>554500000</v>
      </c>
      <c r="G123" s="7" t="s">
        <v>2</v>
      </c>
      <c r="H123" s="9" t="s">
        <v>180</v>
      </c>
      <c r="I123" s="15">
        <v>43952</v>
      </c>
      <c r="J123" s="153"/>
      <c r="K123" s="17"/>
      <c r="L123" s="27"/>
      <c r="M123" s="17"/>
      <c r="N123" s="8" t="s">
        <v>202</v>
      </c>
    </row>
    <row r="124" spans="1:14" ht="116.25" thickBot="1" x14ac:dyDescent="0.3">
      <c r="A124" s="8"/>
      <c r="B124" s="54" t="s">
        <v>112</v>
      </c>
      <c r="C124" s="55">
        <v>118</v>
      </c>
      <c r="D124" s="55">
        <v>101</v>
      </c>
      <c r="E124" s="81" t="s">
        <v>248</v>
      </c>
      <c r="F124" s="128">
        <v>524150000</v>
      </c>
      <c r="G124" s="5" t="s">
        <v>2</v>
      </c>
      <c r="H124" s="9" t="s">
        <v>180</v>
      </c>
      <c r="I124" s="13">
        <v>43952</v>
      </c>
      <c r="J124" s="154"/>
      <c r="K124" s="17"/>
      <c r="L124" s="27"/>
      <c r="M124" s="17"/>
      <c r="N124" s="8" t="s">
        <v>202</v>
      </c>
    </row>
    <row r="125" spans="1:14" ht="99.75" thickBot="1" x14ac:dyDescent="0.3">
      <c r="A125" s="8"/>
      <c r="B125" s="54" t="s">
        <v>112</v>
      </c>
      <c r="C125" s="55">
        <v>119</v>
      </c>
      <c r="D125" s="55">
        <v>102</v>
      </c>
      <c r="E125" s="76" t="s">
        <v>249</v>
      </c>
      <c r="F125" s="127">
        <v>552450000</v>
      </c>
      <c r="G125" s="7" t="s">
        <v>2</v>
      </c>
      <c r="H125" s="9" t="s">
        <v>180</v>
      </c>
      <c r="I125" s="15">
        <v>43952</v>
      </c>
      <c r="J125" s="153"/>
      <c r="K125" s="17"/>
      <c r="L125" s="27"/>
      <c r="M125" s="17"/>
      <c r="N125" s="8" t="s">
        <v>202</v>
      </c>
    </row>
    <row r="126" spans="1:14" ht="99.75" thickBot="1" x14ac:dyDescent="0.3">
      <c r="A126" s="8"/>
      <c r="B126" s="54" t="s">
        <v>112</v>
      </c>
      <c r="C126" s="55">
        <v>120</v>
      </c>
      <c r="D126" s="55">
        <v>103</v>
      </c>
      <c r="E126" s="81" t="s">
        <v>250</v>
      </c>
      <c r="F126" s="128">
        <v>501050000</v>
      </c>
      <c r="G126" s="5" t="s">
        <v>2</v>
      </c>
      <c r="H126" s="9" t="s">
        <v>180</v>
      </c>
      <c r="I126" s="13">
        <v>43952</v>
      </c>
      <c r="J126" s="154"/>
      <c r="K126" s="17"/>
      <c r="L126" s="27"/>
      <c r="M126" s="17"/>
      <c r="N126" s="8" t="s">
        <v>202</v>
      </c>
    </row>
    <row r="127" spans="1:14" ht="99.75" thickBot="1" x14ac:dyDescent="0.3">
      <c r="A127" s="8"/>
      <c r="B127" s="54" t="s">
        <v>112</v>
      </c>
      <c r="C127" s="55">
        <v>121</v>
      </c>
      <c r="D127" s="55">
        <v>104</v>
      </c>
      <c r="E127" s="110" t="s">
        <v>251</v>
      </c>
      <c r="F127" s="129">
        <v>590600000</v>
      </c>
      <c r="G127" s="6" t="s">
        <v>2</v>
      </c>
      <c r="H127" s="9" t="s">
        <v>180</v>
      </c>
      <c r="I127" s="14">
        <v>43952</v>
      </c>
      <c r="J127" s="155"/>
      <c r="K127" s="17"/>
      <c r="L127" s="27"/>
      <c r="M127" s="17"/>
      <c r="N127" s="8" t="s">
        <v>202</v>
      </c>
    </row>
    <row r="128" spans="1:14" ht="116.25" thickBot="1" x14ac:dyDescent="0.3">
      <c r="A128" s="8"/>
      <c r="B128" s="54" t="s">
        <v>112</v>
      </c>
      <c r="C128" s="55">
        <v>122</v>
      </c>
      <c r="D128" s="55">
        <v>105</v>
      </c>
      <c r="E128" s="81" t="s">
        <v>252</v>
      </c>
      <c r="F128" s="128">
        <v>516700000</v>
      </c>
      <c r="G128" s="5" t="s">
        <v>2</v>
      </c>
      <c r="H128" s="9" t="s">
        <v>180</v>
      </c>
      <c r="I128" s="13">
        <v>43952</v>
      </c>
      <c r="J128" s="152"/>
      <c r="K128" s="17"/>
      <c r="L128" s="27"/>
      <c r="M128" s="17"/>
      <c r="N128" s="8" t="s">
        <v>202</v>
      </c>
    </row>
    <row r="129" spans="1:14" ht="115.5" x14ac:dyDescent="0.25">
      <c r="A129" s="8"/>
      <c r="B129" s="54" t="s">
        <v>112</v>
      </c>
      <c r="C129" s="55">
        <v>123</v>
      </c>
      <c r="D129" s="55">
        <v>106</v>
      </c>
      <c r="E129" s="76" t="s">
        <v>253</v>
      </c>
      <c r="F129" s="127">
        <v>633950000</v>
      </c>
      <c r="G129" s="7" t="s">
        <v>2</v>
      </c>
      <c r="H129" s="9" t="s">
        <v>180</v>
      </c>
      <c r="I129" s="15">
        <v>43952</v>
      </c>
      <c r="J129" s="153"/>
      <c r="K129" s="17"/>
      <c r="L129" s="27"/>
      <c r="M129" s="17"/>
      <c r="N129" s="8" t="s">
        <v>202</v>
      </c>
    </row>
    <row r="130" spans="1:14" ht="33" x14ac:dyDescent="0.25">
      <c r="A130" s="8"/>
      <c r="B130" s="54" t="s">
        <v>112</v>
      </c>
      <c r="C130" s="55">
        <v>124</v>
      </c>
      <c r="D130" s="55">
        <v>107</v>
      </c>
      <c r="E130" s="61" t="s">
        <v>191</v>
      </c>
      <c r="F130" s="59">
        <v>200000000</v>
      </c>
      <c r="G130" s="2" t="s">
        <v>169</v>
      </c>
      <c r="H130" s="9" t="s">
        <v>176</v>
      </c>
      <c r="I130" s="11">
        <v>43831</v>
      </c>
      <c r="J130" s="159"/>
      <c r="K130" s="17"/>
      <c r="L130" s="27"/>
      <c r="M130" s="17"/>
      <c r="N130" s="8" t="s">
        <v>202</v>
      </c>
    </row>
    <row r="131" spans="1:14" ht="33" x14ac:dyDescent="0.25">
      <c r="A131" s="8"/>
      <c r="B131" s="54" t="s">
        <v>112</v>
      </c>
      <c r="C131" s="55">
        <v>125</v>
      </c>
      <c r="D131" s="55">
        <v>108</v>
      </c>
      <c r="E131" s="61" t="s">
        <v>192</v>
      </c>
      <c r="F131" s="59">
        <v>200000000</v>
      </c>
      <c r="G131" s="2" t="s">
        <v>169</v>
      </c>
      <c r="H131" s="9" t="s">
        <v>176</v>
      </c>
      <c r="I131" s="11">
        <v>43831</v>
      </c>
      <c r="J131" s="159"/>
      <c r="K131" s="17"/>
      <c r="L131" s="27"/>
      <c r="M131" s="17"/>
      <c r="N131" s="8" t="s">
        <v>202</v>
      </c>
    </row>
    <row r="132" spans="1:14" ht="49.5" x14ac:dyDescent="0.25">
      <c r="A132" s="8"/>
      <c r="B132" s="54" t="s">
        <v>112</v>
      </c>
      <c r="C132" s="55">
        <v>126</v>
      </c>
      <c r="D132" s="55">
        <v>109</v>
      </c>
      <c r="E132" s="61" t="s">
        <v>193</v>
      </c>
      <c r="F132" s="59">
        <v>200000000</v>
      </c>
      <c r="G132" s="2" t="s">
        <v>169</v>
      </c>
      <c r="H132" s="9" t="s">
        <v>176</v>
      </c>
      <c r="I132" s="11">
        <v>43862</v>
      </c>
      <c r="J132" s="159"/>
      <c r="K132" s="17"/>
      <c r="L132" s="27"/>
      <c r="M132" s="17"/>
      <c r="N132" s="8" t="s">
        <v>201</v>
      </c>
    </row>
    <row r="133" spans="1:14" ht="33" x14ac:dyDescent="0.25">
      <c r="A133" s="8"/>
      <c r="B133" s="54" t="s">
        <v>112</v>
      </c>
      <c r="C133" s="55">
        <v>127</v>
      </c>
      <c r="D133" s="55">
        <v>110</v>
      </c>
      <c r="E133" s="61" t="s">
        <v>194</v>
      </c>
      <c r="F133" s="59">
        <v>160000000</v>
      </c>
      <c r="G133" s="2" t="s">
        <v>169</v>
      </c>
      <c r="H133" s="9" t="s">
        <v>176</v>
      </c>
      <c r="I133" s="11">
        <v>43862</v>
      </c>
      <c r="J133" s="159"/>
      <c r="K133" s="17"/>
      <c r="L133" s="27"/>
      <c r="M133" s="17"/>
      <c r="N133" s="8" t="s">
        <v>202</v>
      </c>
    </row>
    <row r="134" spans="1:14" ht="33" x14ac:dyDescent="0.25">
      <c r="A134" s="8"/>
      <c r="B134" s="54" t="s">
        <v>112</v>
      </c>
      <c r="C134" s="55">
        <v>128</v>
      </c>
      <c r="D134" s="55">
        <v>111</v>
      </c>
      <c r="E134" s="61" t="s">
        <v>195</v>
      </c>
      <c r="F134" s="59">
        <v>200000000</v>
      </c>
      <c r="G134" s="2" t="s">
        <v>169</v>
      </c>
      <c r="H134" s="9" t="s">
        <v>176</v>
      </c>
      <c r="I134" s="11">
        <v>43891</v>
      </c>
      <c r="J134" s="159"/>
      <c r="K134" s="17"/>
      <c r="L134" s="27"/>
      <c r="M134" s="17"/>
      <c r="N134" s="8" t="s">
        <v>202</v>
      </c>
    </row>
    <row r="135" spans="1:14" ht="49.5" x14ac:dyDescent="0.25">
      <c r="A135" s="8"/>
      <c r="B135" s="54" t="s">
        <v>112</v>
      </c>
      <c r="C135" s="55">
        <v>129</v>
      </c>
      <c r="D135" s="55">
        <v>112</v>
      </c>
      <c r="E135" s="61" t="s">
        <v>196</v>
      </c>
      <c r="F135" s="59">
        <v>200000000</v>
      </c>
      <c r="G135" s="2" t="s">
        <v>169</v>
      </c>
      <c r="H135" s="9" t="s">
        <v>176</v>
      </c>
      <c r="I135" s="11">
        <v>43891</v>
      </c>
      <c r="J135" s="159"/>
      <c r="K135" s="17"/>
      <c r="L135" s="27"/>
      <c r="M135" s="17"/>
      <c r="N135" s="8" t="s">
        <v>202</v>
      </c>
    </row>
    <row r="136" spans="1:14" ht="49.5" x14ac:dyDescent="0.25">
      <c r="A136" s="8">
        <v>8</v>
      </c>
      <c r="B136" s="54" t="s">
        <v>123</v>
      </c>
      <c r="C136" s="55">
        <v>130</v>
      </c>
      <c r="D136" s="55">
        <v>1</v>
      </c>
      <c r="E136" s="56" t="s">
        <v>113</v>
      </c>
      <c r="F136" s="57">
        <v>384000000</v>
      </c>
      <c r="G136" s="3" t="s">
        <v>2</v>
      </c>
      <c r="H136" s="9" t="s">
        <v>180</v>
      </c>
      <c r="I136" s="11">
        <v>43891</v>
      </c>
      <c r="J136" s="159"/>
      <c r="K136" s="17"/>
      <c r="L136" s="27"/>
      <c r="M136" s="17"/>
      <c r="N136" s="8" t="s">
        <v>202</v>
      </c>
    </row>
    <row r="137" spans="1:14" ht="66" customHeight="1" x14ac:dyDescent="0.25">
      <c r="A137" s="8"/>
      <c r="B137" s="54" t="s">
        <v>123</v>
      </c>
      <c r="C137" s="55">
        <v>131</v>
      </c>
      <c r="D137" s="55">
        <v>2</v>
      </c>
      <c r="E137" s="56" t="s">
        <v>114</v>
      </c>
      <c r="F137" s="57">
        <v>334000000</v>
      </c>
      <c r="G137" s="4" t="s">
        <v>2</v>
      </c>
      <c r="H137" s="9" t="s">
        <v>180</v>
      </c>
      <c r="I137" s="12">
        <v>43891</v>
      </c>
      <c r="J137" s="159"/>
      <c r="K137" s="17"/>
      <c r="L137" s="27"/>
      <c r="M137" s="17"/>
      <c r="N137" s="8" t="s">
        <v>202</v>
      </c>
    </row>
    <row r="138" spans="1:14" ht="66" customHeight="1" x14ac:dyDescent="0.25">
      <c r="A138" s="8"/>
      <c r="B138" s="54" t="s">
        <v>123</v>
      </c>
      <c r="C138" s="55">
        <v>132</v>
      </c>
      <c r="D138" s="55">
        <v>3</v>
      </c>
      <c r="E138" s="56" t="s">
        <v>115</v>
      </c>
      <c r="F138" s="57">
        <v>576000000</v>
      </c>
      <c r="G138" s="3" t="s">
        <v>2</v>
      </c>
      <c r="H138" s="9" t="s">
        <v>180</v>
      </c>
      <c r="I138" s="11">
        <v>43891</v>
      </c>
      <c r="J138" s="159"/>
      <c r="K138" s="17"/>
      <c r="L138" s="27"/>
      <c r="M138" s="17"/>
      <c r="N138" s="8" t="s">
        <v>202</v>
      </c>
    </row>
    <row r="139" spans="1:14" ht="82.5" customHeight="1" x14ac:dyDescent="0.25">
      <c r="A139" s="8"/>
      <c r="B139" s="54" t="s">
        <v>123</v>
      </c>
      <c r="C139" s="55">
        <v>133</v>
      </c>
      <c r="D139" s="55">
        <v>4</v>
      </c>
      <c r="E139" s="56" t="s">
        <v>116</v>
      </c>
      <c r="F139" s="57">
        <v>578000000</v>
      </c>
      <c r="G139" s="4" t="s">
        <v>2</v>
      </c>
      <c r="H139" s="9" t="s">
        <v>180</v>
      </c>
      <c r="I139" s="12">
        <v>43891</v>
      </c>
      <c r="J139" s="159"/>
      <c r="K139" s="17"/>
      <c r="L139" s="27"/>
      <c r="M139" s="17"/>
      <c r="N139" s="8" t="s">
        <v>202</v>
      </c>
    </row>
    <row r="140" spans="1:14" ht="33" x14ac:dyDescent="0.25">
      <c r="A140" s="8"/>
      <c r="B140" s="54" t="s">
        <v>123</v>
      </c>
      <c r="C140" s="55">
        <v>134</v>
      </c>
      <c r="D140" s="55">
        <v>5</v>
      </c>
      <c r="E140" s="56" t="s">
        <v>117</v>
      </c>
      <c r="F140" s="57">
        <v>384000000</v>
      </c>
      <c r="G140" s="3" t="s">
        <v>2</v>
      </c>
      <c r="H140" s="9" t="s">
        <v>180</v>
      </c>
      <c r="I140" s="11">
        <v>43891</v>
      </c>
      <c r="J140" s="159"/>
      <c r="K140" s="17"/>
      <c r="L140" s="27"/>
      <c r="M140" s="17"/>
      <c r="N140" s="8" t="s">
        <v>202</v>
      </c>
    </row>
    <row r="141" spans="1:14" ht="49.5" x14ac:dyDescent="0.25">
      <c r="A141" s="8"/>
      <c r="B141" s="54" t="s">
        <v>123</v>
      </c>
      <c r="C141" s="55">
        <v>135</v>
      </c>
      <c r="D141" s="55">
        <v>6</v>
      </c>
      <c r="E141" s="56" t="s">
        <v>118</v>
      </c>
      <c r="F141" s="57">
        <v>234000000</v>
      </c>
      <c r="G141" s="4" t="s">
        <v>2</v>
      </c>
      <c r="H141" s="9" t="s">
        <v>180</v>
      </c>
      <c r="I141" s="12">
        <v>43891</v>
      </c>
      <c r="J141" s="159"/>
      <c r="K141" s="17"/>
      <c r="L141" s="27"/>
      <c r="M141" s="17"/>
      <c r="N141" s="8" t="s">
        <v>202</v>
      </c>
    </row>
    <row r="142" spans="1:14" ht="33" x14ac:dyDescent="0.25">
      <c r="A142" s="8"/>
      <c r="B142" s="54" t="s">
        <v>123</v>
      </c>
      <c r="C142" s="55">
        <v>136</v>
      </c>
      <c r="D142" s="55">
        <v>7</v>
      </c>
      <c r="E142" s="56" t="s">
        <v>119</v>
      </c>
      <c r="F142" s="57">
        <v>300000000</v>
      </c>
      <c r="G142" s="3" t="s">
        <v>2</v>
      </c>
      <c r="H142" s="9" t="s">
        <v>180</v>
      </c>
      <c r="I142" s="11">
        <v>43862</v>
      </c>
      <c r="J142" s="159"/>
      <c r="K142" s="17"/>
      <c r="L142" s="27"/>
      <c r="M142" s="17"/>
      <c r="N142" s="8" t="s">
        <v>202</v>
      </c>
    </row>
    <row r="143" spans="1:14" ht="49.5" x14ac:dyDescent="0.25">
      <c r="A143" s="8"/>
      <c r="B143" s="54" t="s">
        <v>123</v>
      </c>
      <c r="C143" s="55">
        <v>137</v>
      </c>
      <c r="D143" s="55">
        <v>8</v>
      </c>
      <c r="E143" s="56" t="s">
        <v>120</v>
      </c>
      <c r="F143" s="57">
        <v>170000000</v>
      </c>
      <c r="G143" s="4" t="s">
        <v>2</v>
      </c>
      <c r="H143" s="9" t="s">
        <v>180</v>
      </c>
      <c r="I143" s="12">
        <v>43862</v>
      </c>
      <c r="J143" s="159"/>
      <c r="K143" s="17"/>
      <c r="L143" s="27"/>
      <c r="M143" s="17"/>
      <c r="N143" s="8" t="s">
        <v>201</v>
      </c>
    </row>
    <row r="144" spans="1:14" ht="29" x14ac:dyDescent="0.35">
      <c r="A144" s="8"/>
      <c r="B144" s="54" t="s">
        <v>123</v>
      </c>
      <c r="C144" s="55">
        <v>138</v>
      </c>
      <c r="D144" s="55">
        <v>9</v>
      </c>
      <c r="E144" s="56" t="s">
        <v>121</v>
      </c>
      <c r="F144" s="57">
        <v>10250000000</v>
      </c>
      <c r="G144" s="3" t="s">
        <v>2</v>
      </c>
      <c r="H144" s="8" t="s">
        <v>0</v>
      </c>
      <c r="I144" s="11">
        <v>43952</v>
      </c>
      <c r="J144" s="159"/>
      <c r="K144" s="17"/>
      <c r="L144" s="27"/>
      <c r="M144" s="17"/>
      <c r="N144" s="8" t="s">
        <v>202</v>
      </c>
    </row>
    <row r="145" spans="1:14" ht="29" x14ac:dyDescent="0.35">
      <c r="A145" s="8"/>
      <c r="B145" s="54" t="s">
        <v>123</v>
      </c>
      <c r="C145" s="55">
        <v>139</v>
      </c>
      <c r="D145" s="55">
        <v>10</v>
      </c>
      <c r="E145" s="56" t="s">
        <v>122</v>
      </c>
      <c r="F145" s="57">
        <v>120000000</v>
      </c>
      <c r="G145" s="2" t="s">
        <v>2</v>
      </c>
      <c r="H145" s="8" t="s">
        <v>0</v>
      </c>
      <c r="I145" s="10">
        <v>43922</v>
      </c>
      <c r="J145" s="159"/>
      <c r="K145" s="17"/>
      <c r="L145" s="27"/>
      <c r="M145" s="17"/>
      <c r="N145" s="8" t="s">
        <v>202</v>
      </c>
    </row>
    <row r="146" spans="1:14" ht="38.25" customHeight="1" x14ac:dyDescent="0.35">
      <c r="A146" s="63">
        <v>9</v>
      </c>
      <c r="B146" s="54" t="s">
        <v>129</v>
      </c>
      <c r="C146" s="55">
        <v>140</v>
      </c>
      <c r="D146" s="55">
        <v>1</v>
      </c>
      <c r="E146" s="56" t="s">
        <v>124</v>
      </c>
      <c r="F146" s="57">
        <v>705000000</v>
      </c>
      <c r="G146" s="3" t="s">
        <v>2</v>
      </c>
      <c r="H146" s="9" t="s">
        <v>180</v>
      </c>
      <c r="I146" s="11">
        <v>43952</v>
      </c>
      <c r="J146" s="159"/>
      <c r="K146" s="17"/>
      <c r="L146" s="27"/>
      <c r="M146" s="17"/>
      <c r="N146" s="8" t="s">
        <v>202</v>
      </c>
    </row>
    <row r="147" spans="1:14" x14ac:dyDescent="0.35">
      <c r="A147" s="8"/>
      <c r="B147" s="54" t="s">
        <v>129</v>
      </c>
      <c r="C147" s="55">
        <v>141</v>
      </c>
      <c r="D147" s="55">
        <v>2</v>
      </c>
      <c r="E147" s="56" t="s">
        <v>125</v>
      </c>
      <c r="F147" s="57">
        <v>595500000</v>
      </c>
      <c r="G147" s="4" t="s">
        <v>2</v>
      </c>
      <c r="H147" s="9" t="s">
        <v>180</v>
      </c>
      <c r="I147" s="12">
        <v>43831</v>
      </c>
      <c r="J147" s="159"/>
      <c r="K147" s="17"/>
      <c r="L147" s="27"/>
      <c r="M147" s="17"/>
      <c r="N147" s="8" t="s">
        <v>202</v>
      </c>
    </row>
    <row r="148" spans="1:14" x14ac:dyDescent="0.35">
      <c r="A148" s="8"/>
      <c r="B148" s="54" t="s">
        <v>129</v>
      </c>
      <c r="C148" s="55">
        <v>142</v>
      </c>
      <c r="D148" s="55">
        <v>3</v>
      </c>
      <c r="E148" s="56" t="s">
        <v>126</v>
      </c>
      <c r="F148" s="57">
        <v>400000000</v>
      </c>
      <c r="G148" s="3" t="s">
        <v>2</v>
      </c>
      <c r="H148" s="9" t="s">
        <v>180</v>
      </c>
      <c r="I148" s="11">
        <v>43952</v>
      </c>
      <c r="J148" s="159"/>
      <c r="K148" s="17"/>
      <c r="L148" s="27"/>
      <c r="M148" s="17"/>
      <c r="N148" s="8" t="s">
        <v>202</v>
      </c>
    </row>
    <row r="149" spans="1:14" x14ac:dyDescent="0.35">
      <c r="A149" s="8"/>
      <c r="B149" s="54" t="s">
        <v>129</v>
      </c>
      <c r="C149" s="55">
        <v>143</v>
      </c>
      <c r="D149" s="55">
        <v>4</v>
      </c>
      <c r="E149" s="56" t="s">
        <v>127</v>
      </c>
      <c r="F149" s="57">
        <v>450000000</v>
      </c>
      <c r="G149" s="4" t="s">
        <v>2</v>
      </c>
      <c r="H149" s="9" t="s">
        <v>180</v>
      </c>
      <c r="I149" s="12">
        <v>43952</v>
      </c>
      <c r="J149" s="159"/>
      <c r="K149" s="17"/>
      <c r="L149" s="27"/>
      <c r="M149" s="17"/>
      <c r="N149" s="8" t="s">
        <v>202</v>
      </c>
    </row>
    <row r="150" spans="1:14" x14ac:dyDescent="0.35">
      <c r="A150" s="8"/>
      <c r="B150" s="54" t="s">
        <v>129</v>
      </c>
      <c r="C150" s="55">
        <v>144</v>
      </c>
      <c r="D150" s="55">
        <v>5</v>
      </c>
      <c r="E150" s="56" t="s">
        <v>128</v>
      </c>
      <c r="F150" s="57">
        <v>684000000</v>
      </c>
      <c r="G150" s="2" t="s">
        <v>2</v>
      </c>
      <c r="H150" s="9" t="s">
        <v>180</v>
      </c>
      <c r="I150" s="10">
        <v>43952</v>
      </c>
      <c r="J150" s="159"/>
      <c r="K150" s="17"/>
      <c r="L150" s="27"/>
      <c r="M150" s="17"/>
      <c r="N150" s="8" t="s">
        <v>202</v>
      </c>
    </row>
    <row r="151" spans="1:14" x14ac:dyDescent="0.35">
      <c r="A151" s="8">
        <v>10</v>
      </c>
      <c r="B151" s="62" t="s">
        <v>132</v>
      </c>
      <c r="C151" s="55">
        <v>145</v>
      </c>
      <c r="D151" s="55">
        <v>1</v>
      </c>
      <c r="E151" s="56" t="s">
        <v>130</v>
      </c>
      <c r="F151" s="57">
        <v>728920000</v>
      </c>
      <c r="G151" s="3" t="s">
        <v>2</v>
      </c>
      <c r="H151" s="9" t="s">
        <v>180</v>
      </c>
      <c r="I151" s="11">
        <v>43831</v>
      </c>
      <c r="J151" s="159"/>
      <c r="K151" s="17"/>
      <c r="L151" s="27"/>
      <c r="M151" s="17"/>
      <c r="N151" s="8" t="s">
        <v>202</v>
      </c>
    </row>
    <row r="152" spans="1:14" ht="29" x14ac:dyDescent="0.35">
      <c r="A152" s="8"/>
      <c r="B152" s="62" t="s">
        <v>132</v>
      </c>
      <c r="C152" s="55">
        <v>146</v>
      </c>
      <c r="D152" s="55">
        <v>2</v>
      </c>
      <c r="E152" s="56" t="s">
        <v>131</v>
      </c>
      <c r="F152" s="57">
        <v>900000000</v>
      </c>
      <c r="G152" s="4" t="s">
        <v>2</v>
      </c>
      <c r="H152" s="9" t="s">
        <v>180</v>
      </c>
      <c r="I152" s="12">
        <v>43831</v>
      </c>
      <c r="J152" s="159"/>
      <c r="K152" s="17"/>
      <c r="L152" s="27"/>
      <c r="M152" s="17"/>
      <c r="N152" s="8" t="s">
        <v>201</v>
      </c>
    </row>
    <row r="153" spans="1:14" ht="29" x14ac:dyDescent="0.35">
      <c r="A153" s="63">
        <v>11</v>
      </c>
      <c r="B153" s="62" t="s">
        <v>136</v>
      </c>
      <c r="C153" s="55">
        <v>147</v>
      </c>
      <c r="D153" s="55">
        <v>1</v>
      </c>
      <c r="E153" s="56" t="s">
        <v>133</v>
      </c>
      <c r="F153" s="57">
        <v>300000000</v>
      </c>
      <c r="G153" s="3" t="s">
        <v>2</v>
      </c>
      <c r="H153" s="9" t="s">
        <v>163</v>
      </c>
      <c r="I153" s="11">
        <v>43891</v>
      </c>
      <c r="J153" s="159"/>
      <c r="K153" s="17"/>
      <c r="L153" s="27"/>
      <c r="M153" s="17"/>
      <c r="N153" s="8" t="s">
        <v>202</v>
      </c>
    </row>
    <row r="154" spans="1:14" ht="47.25" customHeight="1" x14ac:dyDescent="0.35">
      <c r="A154" s="8"/>
      <c r="B154" s="62" t="s">
        <v>136</v>
      </c>
      <c r="C154" s="55">
        <v>148</v>
      </c>
      <c r="D154" s="55">
        <v>2</v>
      </c>
      <c r="E154" s="56" t="s">
        <v>134</v>
      </c>
      <c r="F154" s="57">
        <v>899200000</v>
      </c>
      <c r="G154" s="4" t="s">
        <v>2</v>
      </c>
      <c r="H154" s="9" t="s">
        <v>163</v>
      </c>
      <c r="I154" s="12">
        <v>44075</v>
      </c>
      <c r="J154" s="159"/>
      <c r="K154" s="17"/>
      <c r="L154" s="27"/>
      <c r="M154" s="17"/>
      <c r="N154" s="8" t="s">
        <v>202</v>
      </c>
    </row>
    <row r="155" spans="1:14" x14ac:dyDescent="0.35">
      <c r="A155" s="8"/>
      <c r="B155" s="62" t="s">
        <v>136</v>
      </c>
      <c r="C155" s="55">
        <v>149</v>
      </c>
      <c r="D155" s="55">
        <v>3</v>
      </c>
      <c r="E155" s="56" t="s">
        <v>135</v>
      </c>
      <c r="F155" s="57">
        <v>212000000</v>
      </c>
      <c r="G155" s="2" t="s">
        <v>2</v>
      </c>
      <c r="H155" s="9" t="s">
        <v>163</v>
      </c>
      <c r="I155" s="10">
        <v>44075</v>
      </c>
      <c r="J155" s="159"/>
      <c r="K155" s="17"/>
      <c r="L155" s="27"/>
      <c r="M155" s="17"/>
      <c r="N155" s="8" t="s">
        <v>202</v>
      </c>
    </row>
    <row r="156" spans="1:14" ht="29" x14ac:dyDescent="0.35">
      <c r="A156" s="8">
        <v>12</v>
      </c>
      <c r="B156" s="54" t="s">
        <v>145</v>
      </c>
      <c r="C156" s="55">
        <v>150</v>
      </c>
      <c r="D156" s="55">
        <v>1</v>
      </c>
      <c r="E156" s="56" t="s">
        <v>137</v>
      </c>
      <c r="F156" s="57">
        <v>1200000000</v>
      </c>
      <c r="G156" s="3" t="s">
        <v>2</v>
      </c>
      <c r="H156" s="9" t="s">
        <v>180</v>
      </c>
      <c r="I156" s="11">
        <v>43922</v>
      </c>
      <c r="J156" s="159"/>
      <c r="K156" s="17"/>
      <c r="L156" s="27"/>
      <c r="M156" s="17"/>
      <c r="N156" s="8" t="s">
        <v>201</v>
      </c>
    </row>
    <row r="157" spans="1:14" ht="29" x14ac:dyDescent="0.35">
      <c r="A157" s="8"/>
      <c r="B157" s="54" t="s">
        <v>145</v>
      </c>
      <c r="C157" s="55">
        <v>151</v>
      </c>
      <c r="D157" s="55">
        <v>2</v>
      </c>
      <c r="E157" s="56" t="s">
        <v>138</v>
      </c>
      <c r="F157" s="57">
        <v>870000000</v>
      </c>
      <c r="G157" s="4" t="s">
        <v>2</v>
      </c>
      <c r="H157" s="9" t="s">
        <v>180</v>
      </c>
      <c r="I157" s="12">
        <v>43831</v>
      </c>
      <c r="J157" s="159"/>
      <c r="K157" s="17"/>
      <c r="L157" s="27"/>
      <c r="M157" s="17"/>
      <c r="N157" s="8" t="s">
        <v>202</v>
      </c>
    </row>
    <row r="158" spans="1:14" ht="29" x14ac:dyDescent="0.35">
      <c r="A158" s="8"/>
      <c r="B158" s="54" t="s">
        <v>145</v>
      </c>
      <c r="C158" s="55">
        <v>152</v>
      </c>
      <c r="D158" s="55">
        <v>3</v>
      </c>
      <c r="E158" s="56" t="s">
        <v>139</v>
      </c>
      <c r="F158" s="57">
        <v>450000000</v>
      </c>
      <c r="G158" s="3" t="s">
        <v>2</v>
      </c>
      <c r="H158" s="9" t="s">
        <v>180</v>
      </c>
      <c r="I158" s="11">
        <v>43831</v>
      </c>
      <c r="J158" s="159"/>
      <c r="K158" s="17"/>
      <c r="L158" s="27"/>
      <c r="M158" s="17"/>
      <c r="N158" s="8" t="s">
        <v>202</v>
      </c>
    </row>
    <row r="159" spans="1:14" ht="51" customHeight="1" x14ac:dyDescent="0.35">
      <c r="A159" s="8"/>
      <c r="B159" s="54" t="s">
        <v>145</v>
      </c>
      <c r="C159" s="55">
        <v>153</v>
      </c>
      <c r="D159" s="55">
        <v>4</v>
      </c>
      <c r="E159" s="56" t="s">
        <v>140</v>
      </c>
      <c r="F159" s="57">
        <v>290000000</v>
      </c>
      <c r="G159" s="4" t="s">
        <v>2</v>
      </c>
      <c r="H159" s="9" t="s">
        <v>180</v>
      </c>
      <c r="I159" s="12">
        <v>43922</v>
      </c>
      <c r="J159" s="17"/>
      <c r="K159" s="17"/>
      <c r="L159" s="27"/>
      <c r="M159" s="17"/>
      <c r="N159" s="8" t="s">
        <v>202</v>
      </c>
    </row>
    <row r="160" spans="1:14" ht="29" x14ac:dyDescent="0.35">
      <c r="A160" s="8"/>
      <c r="B160" s="54" t="s">
        <v>145</v>
      </c>
      <c r="C160" s="55">
        <v>154</v>
      </c>
      <c r="D160" s="55">
        <v>5</v>
      </c>
      <c r="E160" s="56" t="s">
        <v>141</v>
      </c>
      <c r="F160" s="57">
        <v>374200000</v>
      </c>
      <c r="G160" s="3" t="s">
        <v>2</v>
      </c>
      <c r="H160" s="8" t="s">
        <v>0</v>
      </c>
      <c r="I160" s="11">
        <v>43862</v>
      </c>
      <c r="J160" s="17"/>
      <c r="K160" s="17"/>
      <c r="L160" s="27"/>
      <c r="M160" s="17"/>
      <c r="N160" s="8" t="s">
        <v>202</v>
      </c>
    </row>
    <row r="161" spans="1:14" ht="29" x14ac:dyDescent="0.35">
      <c r="A161" s="8"/>
      <c r="B161" s="54" t="s">
        <v>145</v>
      </c>
      <c r="C161" s="55">
        <v>155</v>
      </c>
      <c r="D161" s="55">
        <v>6</v>
      </c>
      <c r="E161" s="56" t="s">
        <v>142</v>
      </c>
      <c r="F161" s="57">
        <v>267000000</v>
      </c>
      <c r="G161" s="4" t="s">
        <v>12</v>
      </c>
      <c r="H161" s="8" t="s">
        <v>0</v>
      </c>
      <c r="I161" s="12">
        <v>43831</v>
      </c>
      <c r="J161" s="17"/>
      <c r="K161" s="17"/>
      <c r="L161" s="27">
        <v>252521273.03999999</v>
      </c>
      <c r="M161" s="17" t="s">
        <v>198</v>
      </c>
      <c r="N161" s="8" t="s">
        <v>199</v>
      </c>
    </row>
    <row r="162" spans="1:14" ht="49.5" customHeight="1" x14ac:dyDescent="0.35">
      <c r="A162" s="8"/>
      <c r="B162" s="54" t="s">
        <v>145</v>
      </c>
      <c r="C162" s="55">
        <v>156</v>
      </c>
      <c r="D162" s="55">
        <v>7</v>
      </c>
      <c r="E162" s="56" t="s">
        <v>143</v>
      </c>
      <c r="F162" s="57">
        <v>321100000</v>
      </c>
      <c r="G162" s="3" t="s">
        <v>12</v>
      </c>
      <c r="H162" s="8" t="s">
        <v>0</v>
      </c>
      <c r="I162" s="11">
        <v>43831</v>
      </c>
      <c r="J162" s="17"/>
      <c r="K162" s="17"/>
      <c r="L162" s="27">
        <v>309213366</v>
      </c>
      <c r="M162" s="17" t="s">
        <v>200</v>
      </c>
      <c r="N162" s="8" t="s">
        <v>199</v>
      </c>
    </row>
    <row r="163" spans="1:14" ht="49.5" customHeight="1" x14ac:dyDescent="0.35">
      <c r="A163" s="8"/>
      <c r="B163" s="54" t="s">
        <v>145</v>
      </c>
      <c r="C163" s="55">
        <v>157</v>
      </c>
      <c r="D163" s="55">
        <v>8</v>
      </c>
      <c r="E163" s="56" t="s">
        <v>144</v>
      </c>
      <c r="F163" s="57">
        <v>262000000</v>
      </c>
      <c r="G163" s="2" t="s">
        <v>12</v>
      </c>
      <c r="H163" s="8" t="s">
        <v>0</v>
      </c>
      <c r="I163" s="10">
        <v>43831</v>
      </c>
      <c r="J163" s="17"/>
      <c r="K163" s="17"/>
      <c r="L163" s="27">
        <v>256384600</v>
      </c>
      <c r="M163" s="17" t="s">
        <v>200</v>
      </c>
      <c r="N163" s="8" t="s">
        <v>199</v>
      </c>
    </row>
    <row r="164" spans="1:14" ht="49.5" customHeight="1" x14ac:dyDescent="0.35">
      <c r="A164" s="8">
        <v>13</v>
      </c>
      <c r="B164" s="58" t="s">
        <v>203</v>
      </c>
      <c r="C164" s="55">
        <v>158</v>
      </c>
      <c r="D164" s="55">
        <v>1</v>
      </c>
      <c r="E164" s="56" t="s">
        <v>204</v>
      </c>
      <c r="F164" s="57">
        <v>952710000</v>
      </c>
      <c r="G164" s="2" t="s">
        <v>2</v>
      </c>
      <c r="H164" s="8" t="s">
        <v>15</v>
      </c>
      <c r="I164" s="130">
        <v>43862</v>
      </c>
      <c r="J164" s="17"/>
      <c r="K164" s="17"/>
      <c r="L164" s="27"/>
      <c r="M164" s="17"/>
      <c r="N164" s="8" t="s">
        <v>202</v>
      </c>
    </row>
    <row r="165" spans="1:14" ht="49.5" customHeight="1" x14ac:dyDescent="0.35">
      <c r="A165" s="8"/>
      <c r="B165" s="58" t="s">
        <v>203</v>
      </c>
      <c r="C165" s="55">
        <v>159</v>
      </c>
      <c r="D165" s="55">
        <v>2</v>
      </c>
      <c r="E165" s="56" t="s">
        <v>205</v>
      </c>
      <c r="F165" s="57">
        <v>830000000</v>
      </c>
      <c r="G165" s="2" t="s">
        <v>2</v>
      </c>
      <c r="H165" s="8" t="s">
        <v>15</v>
      </c>
      <c r="I165" s="130">
        <v>43922</v>
      </c>
      <c r="J165" s="17"/>
      <c r="K165" s="17"/>
      <c r="L165" s="27"/>
      <c r="M165" s="17"/>
      <c r="N165" s="8" t="s">
        <v>202</v>
      </c>
    </row>
    <row r="166" spans="1:14" ht="43.5" x14ac:dyDescent="0.35">
      <c r="A166" s="63">
        <v>14</v>
      </c>
      <c r="B166" s="62" t="s">
        <v>148</v>
      </c>
      <c r="C166" s="55">
        <v>160</v>
      </c>
      <c r="D166" s="63">
        <v>1</v>
      </c>
      <c r="E166" s="56" t="s">
        <v>146</v>
      </c>
      <c r="F166" s="64">
        <v>249100000</v>
      </c>
      <c r="G166" s="5" t="s">
        <v>2</v>
      </c>
      <c r="H166" s="9" t="s">
        <v>180</v>
      </c>
      <c r="I166" s="13">
        <v>43952</v>
      </c>
      <c r="J166" s="17"/>
      <c r="K166" s="17"/>
      <c r="L166" s="27"/>
      <c r="M166" s="17"/>
      <c r="N166" s="8" t="s">
        <v>202</v>
      </c>
    </row>
    <row r="167" spans="1:14" ht="43.5" x14ac:dyDescent="0.35">
      <c r="A167" s="8"/>
      <c r="B167" s="62" t="s">
        <v>148</v>
      </c>
      <c r="C167" s="55">
        <v>161</v>
      </c>
      <c r="D167" s="63">
        <v>2</v>
      </c>
      <c r="E167" s="56" t="s">
        <v>147</v>
      </c>
      <c r="F167" s="64">
        <v>292041000</v>
      </c>
      <c r="G167" s="6" t="s">
        <v>2</v>
      </c>
      <c r="H167" s="9" t="s">
        <v>180</v>
      </c>
      <c r="I167" s="14">
        <v>43952</v>
      </c>
      <c r="J167" s="17"/>
      <c r="K167" s="17"/>
      <c r="L167" s="27"/>
      <c r="M167" s="17"/>
      <c r="N167" s="8" t="s">
        <v>202</v>
      </c>
    </row>
    <row r="168" spans="1:14" ht="43.5" x14ac:dyDescent="0.35">
      <c r="A168" s="63">
        <v>15</v>
      </c>
      <c r="B168" s="54" t="s">
        <v>150</v>
      </c>
      <c r="C168" s="55">
        <v>162</v>
      </c>
      <c r="D168" s="85">
        <v>1</v>
      </c>
      <c r="E168" s="86" t="s">
        <v>149</v>
      </c>
      <c r="F168" s="87">
        <v>372930000</v>
      </c>
      <c r="G168" s="73" t="s">
        <v>2</v>
      </c>
      <c r="H168" s="74" t="s">
        <v>180</v>
      </c>
      <c r="I168" s="75">
        <v>43922</v>
      </c>
      <c r="J168" s="79"/>
      <c r="K168" s="79"/>
      <c r="L168" s="27"/>
      <c r="M168" s="17"/>
      <c r="N168" s="8" t="s">
        <v>202</v>
      </c>
    </row>
    <row r="169" spans="1:14" ht="29" x14ac:dyDescent="0.35">
      <c r="A169" s="63">
        <v>16</v>
      </c>
      <c r="B169" s="54" t="s">
        <v>226</v>
      </c>
      <c r="C169" s="55">
        <v>163</v>
      </c>
      <c r="D169" s="4">
        <v>1</v>
      </c>
      <c r="E169" s="76" t="s">
        <v>228</v>
      </c>
      <c r="F169" s="77">
        <v>254288000</v>
      </c>
      <c r="G169" s="7" t="s">
        <v>2</v>
      </c>
      <c r="H169" s="9" t="s">
        <v>180</v>
      </c>
      <c r="I169" s="15">
        <v>43862</v>
      </c>
      <c r="J169" s="80"/>
      <c r="K169" s="80"/>
      <c r="L169" s="78"/>
      <c r="M169" s="17"/>
      <c r="N169" s="8" t="s">
        <v>202</v>
      </c>
    </row>
    <row r="170" spans="1:14" ht="72.5" x14ac:dyDescent="0.35">
      <c r="A170" s="63">
        <v>17</v>
      </c>
      <c r="B170" s="54" t="s">
        <v>227</v>
      </c>
      <c r="C170" s="55">
        <v>164</v>
      </c>
      <c r="D170" s="3">
        <v>1</v>
      </c>
      <c r="E170" s="81" t="s">
        <v>229</v>
      </c>
      <c r="F170" s="82">
        <v>246775000</v>
      </c>
      <c r="G170" s="5" t="s">
        <v>2</v>
      </c>
      <c r="H170" s="9" t="s">
        <v>180</v>
      </c>
      <c r="I170" s="13">
        <v>43862</v>
      </c>
      <c r="J170" s="83"/>
      <c r="K170" s="84"/>
      <c r="L170" s="78"/>
      <c r="M170" s="17"/>
      <c r="N170" s="8" t="s">
        <v>202</v>
      </c>
    </row>
    <row r="171" spans="1:14" ht="29" x14ac:dyDescent="0.35">
      <c r="A171" s="63"/>
      <c r="B171" s="54" t="s">
        <v>227</v>
      </c>
      <c r="C171" s="55">
        <v>165</v>
      </c>
      <c r="D171" s="131">
        <v>2</v>
      </c>
      <c r="E171" s="97" t="s">
        <v>230</v>
      </c>
      <c r="F171" s="98">
        <v>262467000</v>
      </c>
      <c r="G171" s="99" t="s">
        <v>2</v>
      </c>
      <c r="H171" s="74" t="s">
        <v>180</v>
      </c>
      <c r="I171" s="100">
        <v>43862</v>
      </c>
      <c r="J171" s="101"/>
      <c r="K171" s="101"/>
      <c r="L171" s="102"/>
      <c r="M171" s="79"/>
      <c r="N171" s="103" t="s">
        <v>202</v>
      </c>
    </row>
    <row r="172" spans="1:14" x14ac:dyDescent="0.35">
      <c r="A172" s="8">
        <v>18</v>
      </c>
      <c r="B172" s="62" t="s">
        <v>154</v>
      </c>
      <c r="C172" s="55">
        <v>166</v>
      </c>
      <c r="D172" s="5">
        <v>1</v>
      </c>
      <c r="E172" s="81" t="s">
        <v>231</v>
      </c>
      <c r="F172" s="82">
        <v>600000000</v>
      </c>
      <c r="G172" s="5" t="s">
        <v>2</v>
      </c>
      <c r="H172" s="74" t="s">
        <v>180</v>
      </c>
      <c r="I172" s="15">
        <v>43831</v>
      </c>
      <c r="J172" s="132"/>
      <c r="K172" s="83"/>
      <c r="L172" s="27"/>
      <c r="M172" s="17"/>
      <c r="N172" s="8" t="s">
        <v>202</v>
      </c>
    </row>
    <row r="173" spans="1:14" x14ac:dyDescent="0.35">
      <c r="A173" s="8"/>
      <c r="B173" s="62" t="s">
        <v>154</v>
      </c>
      <c r="C173" s="55">
        <v>167</v>
      </c>
      <c r="D173" s="6">
        <v>2</v>
      </c>
      <c r="E173" s="110" t="s">
        <v>151</v>
      </c>
      <c r="F173" s="111">
        <v>950000000</v>
      </c>
      <c r="G173" s="6" t="s">
        <v>12</v>
      </c>
      <c r="H173" s="8" t="s">
        <v>15</v>
      </c>
      <c r="I173" s="112">
        <v>43800</v>
      </c>
      <c r="J173" s="133"/>
      <c r="K173" s="117"/>
      <c r="L173" s="27">
        <v>946148769.5</v>
      </c>
      <c r="M173" s="17" t="s">
        <v>198</v>
      </c>
      <c r="N173" s="8" t="s">
        <v>199</v>
      </c>
    </row>
    <row r="174" spans="1:14" x14ac:dyDescent="0.35">
      <c r="A174" s="8"/>
      <c r="B174" s="62" t="s">
        <v>154</v>
      </c>
      <c r="C174" s="55">
        <v>168</v>
      </c>
      <c r="D174" s="104">
        <v>3</v>
      </c>
      <c r="E174" s="105" t="s">
        <v>152</v>
      </c>
      <c r="F174" s="113">
        <v>4231000000</v>
      </c>
      <c r="G174" s="106" t="s">
        <v>2</v>
      </c>
      <c r="H174" s="107" t="s">
        <v>163</v>
      </c>
      <c r="I174" s="15">
        <v>43831</v>
      </c>
      <c r="J174" s="108"/>
      <c r="K174" s="108"/>
      <c r="L174" s="109">
        <v>3168040453.6999998</v>
      </c>
      <c r="M174" s="94" t="s">
        <v>242</v>
      </c>
      <c r="N174" s="134" t="s">
        <v>199</v>
      </c>
    </row>
    <row r="175" spans="1:14" ht="29" x14ac:dyDescent="0.35">
      <c r="A175" s="8"/>
      <c r="B175" s="62" t="s">
        <v>154</v>
      </c>
      <c r="C175" s="55">
        <v>169</v>
      </c>
      <c r="D175" s="63">
        <v>4</v>
      </c>
      <c r="E175" s="56" t="s">
        <v>153</v>
      </c>
      <c r="F175" s="64">
        <v>29479789000</v>
      </c>
      <c r="G175" s="7" t="s">
        <v>2</v>
      </c>
      <c r="H175" s="9" t="s">
        <v>180</v>
      </c>
      <c r="I175" s="15">
        <v>43862</v>
      </c>
      <c r="J175" s="17"/>
      <c r="K175" s="17"/>
      <c r="L175" s="27"/>
      <c r="M175" s="17"/>
      <c r="N175" s="8" t="s">
        <v>202</v>
      </c>
    </row>
    <row r="176" spans="1:14" ht="29" x14ac:dyDescent="0.35">
      <c r="A176" s="8"/>
      <c r="B176" s="62" t="s">
        <v>154</v>
      </c>
      <c r="C176" s="55">
        <v>170</v>
      </c>
      <c r="D176" s="63">
        <v>5</v>
      </c>
      <c r="E176" s="65" t="s">
        <v>197</v>
      </c>
      <c r="F176" s="66">
        <v>495000000</v>
      </c>
      <c r="G176" s="25" t="s">
        <v>169</v>
      </c>
      <c r="H176" s="9" t="s">
        <v>176</v>
      </c>
      <c r="I176" s="24">
        <v>43862</v>
      </c>
      <c r="J176" s="17"/>
      <c r="K176" s="17"/>
      <c r="L176" s="27"/>
      <c r="M176" s="17"/>
      <c r="N176" s="8" t="s">
        <v>201</v>
      </c>
    </row>
    <row r="177" spans="1:14" x14ac:dyDescent="0.35">
      <c r="A177" s="8">
        <v>19</v>
      </c>
      <c r="B177" s="62" t="s">
        <v>156</v>
      </c>
      <c r="C177" s="55">
        <v>171</v>
      </c>
      <c r="D177" s="63">
        <v>1</v>
      </c>
      <c r="E177" s="56" t="s">
        <v>155</v>
      </c>
      <c r="F177" s="118">
        <v>2495210000</v>
      </c>
      <c r="G177" s="5" t="s">
        <v>2</v>
      </c>
      <c r="H177" s="9" t="s">
        <v>180</v>
      </c>
      <c r="I177" s="13">
        <v>43891</v>
      </c>
      <c r="J177" s="17"/>
      <c r="K177" s="17"/>
      <c r="L177" s="27"/>
      <c r="M177" s="17"/>
      <c r="N177" s="8" t="s">
        <v>202</v>
      </c>
    </row>
    <row r="178" spans="1:14" ht="29" x14ac:dyDescent="0.35">
      <c r="A178" s="8"/>
      <c r="B178" s="62" t="s">
        <v>156</v>
      </c>
      <c r="C178" s="55">
        <v>172</v>
      </c>
      <c r="D178" s="63">
        <v>2</v>
      </c>
      <c r="E178" s="56" t="s">
        <v>220</v>
      </c>
      <c r="F178" s="118">
        <v>63600000</v>
      </c>
      <c r="G178" s="5" t="s">
        <v>2</v>
      </c>
      <c r="H178" s="9" t="s">
        <v>176</v>
      </c>
      <c r="I178" s="13">
        <v>43891</v>
      </c>
      <c r="J178" s="17"/>
      <c r="K178" s="17"/>
      <c r="L178" s="27"/>
      <c r="M178" s="17"/>
      <c r="N178" s="8" t="s">
        <v>202</v>
      </c>
    </row>
    <row r="179" spans="1:14" x14ac:dyDescent="0.35">
      <c r="A179" s="8">
        <v>20</v>
      </c>
      <c r="B179" s="114" t="s">
        <v>158</v>
      </c>
      <c r="C179" s="55">
        <v>173</v>
      </c>
      <c r="D179" s="85">
        <v>1</v>
      </c>
      <c r="E179" s="86" t="s">
        <v>157</v>
      </c>
      <c r="F179" s="119">
        <v>285033000</v>
      </c>
      <c r="G179" s="73" t="s">
        <v>12</v>
      </c>
      <c r="H179" s="103" t="s">
        <v>163</v>
      </c>
      <c r="I179" s="75">
        <v>43862</v>
      </c>
      <c r="J179" s="79"/>
      <c r="K179" s="17"/>
      <c r="L179" s="27"/>
      <c r="M179" s="17"/>
      <c r="N179" s="8" t="s">
        <v>202</v>
      </c>
    </row>
    <row r="180" spans="1:14" x14ac:dyDescent="0.35">
      <c r="A180" s="160"/>
      <c r="B180" s="114" t="s">
        <v>158</v>
      </c>
      <c r="C180" s="55">
        <v>174</v>
      </c>
      <c r="D180" s="85">
        <v>2</v>
      </c>
      <c r="E180" s="161" t="s">
        <v>254</v>
      </c>
      <c r="F180" s="119">
        <v>589770000</v>
      </c>
      <c r="G180" s="73" t="s">
        <v>12</v>
      </c>
      <c r="H180" s="103" t="s">
        <v>163</v>
      </c>
      <c r="I180" s="75">
        <v>43862</v>
      </c>
      <c r="J180" s="79"/>
      <c r="K180" s="159"/>
      <c r="L180" s="27"/>
      <c r="M180" s="17"/>
      <c r="N180" s="8" t="s">
        <v>202</v>
      </c>
    </row>
    <row r="181" spans="1:14" s="151" customFormat="1" ht="29" x14ac:dyDescent="0.35">
      <c r="A181" s="140">
        <v>21</v>
      </c>
      <c r="B181" s="141" t="s">
        <v>232</v>
      </c>
      <c r="C181" s="55">
        <v>175</v>
      </c>
      <c r="D181" s="142">
        <v>1</v>
      </c>
      <c r="E181" s="143" t="s">
        <v>233</v>
      </c>
      <c r="F181" s="144">
        <v>465500000</v>
      </c>
      <c r="G181" s="145" t="s">
        <v>2</v>
      </c>
      <c r="H181" s="145" t="s">
        <v>0</v>
      </c>
      <c r="I181" s="146">
        <v>43952</v>
      </c>
      <c r="J181" s="147"/>
      <c r="K181" s="148"/>
      <c r="L181" s="149"/>
      <c r="M181" s="150"/>
      <c r="N181" s="145" t="s">
        <v>202</v>
      </c>
    </row>
    <row r="182" spans="1:14" ht="24" customHeight="1" x14ac:dyDescent="0.35">
      <c r="A182" s="124"/>
      <c r="B182" s="115" t="s">
        <v>171</v>
      </c>
      <c r="C182" s="125"/>
      <c r="D182" s="115"/>
      <c r="E182" s="115"/>
      <c r="F182" s="116">
        <f>SUM(F7:F181)</f>
        <v>222976456000</v>
      </c>
      <c r="G182" s="125"/>
      <c r="H182" s="125"/>
      <c r="I182" s="125"/>
      <c r="J182" s="115"/>
      <c r="K182" s="30"/>
      <c r="L182" s="126">
        <f>SUM(L7:L181)</f>
        <v>6635879149.2399998</v>
      </c>
      <c r="M182" s="30"/>
      <c r="N182" s="124"/>
    </row>
  </sheetData>
  <mergeCells count="15">
    <mergeCell ref="A1:I1"/>
    <mergeCell ref="A2:I2"/>
    <mergeCell ref="N5:N6"/>
    <mergeCell ref="A3:I3"/>
    <mergeCell ref="I5:I6"/>
    <mergeCell ref="H5:H6"/>
    <mergeCell ref="G5:G6"/>
    <mergeCell ref="F5:F6"/>
    <mergeCell ref="C5:E6"/>
    <mergeCell ref="B5:B6"/>
    <mergeCell ref="A5:A6"/>
    <mergeCell ref="J5:J6"/>
    <mergeCell ref="K5:K6"/>
    <mergeCell ref="L5:L6"/>
    <mergeCell ref="M5:M6"/>
  </mergeCells>
  <hyperlinks>
    <hyperlink ref="E24" r:id="rId1" display="https://sirup.lkpp.go.id/sirup/home/detailPaketPenyediaPublic2017/23394748"/>
    <hyperlink ref="E25" r:id="rId2" display="https://sirup.lkpp.go.id/sirup/home/detailPaketPenyediaPublic2017/23395036"/>
    <hyperlink ref="E26" r:id="rId3" display="https://sirup.lkpp.go.id/sirup/home/detailPaketPenyediaPublic2017/23395175"/>
    <hyperlink ref="E27" r:id="rId4" display="https://sirup.lkpp.go.id/sirup/home/detailPaketPenyediaPublic2017/23395470"/>
    <hyperlink ref="E28" r:id="rId5" display="https://sirup.lkpp.go.id/sirup/home/detailPaketPenyediaPublic2017/23398103"/>
    <hyperlink ref="E29" r:id="rId6" display="https://sirup.lkpp.go.id/sirup/home/detailPaketPenyediaPublic2017/23402805"/>
    <hyperlink ref="E30" r:id="rId7" display="https://sirup.lkpp.go.id/sirup/home/detailPaketPenyediaPublic2017/23403206"/>
    <hyperlink ref="E31" r:id="rId8" display="https://sirup.lkpp.go.id/sirup/home/detailPaketPenyediaPublic2017/23403297"/>
    <hyperlink ref="E32" r:id="rId9" display="https://sirup.lkpp.go.id/sirup/home/detailPaketPenyediaPublic2017/23403385"/>
    <hyperlink ref="E33" r:id="rId10" display="https://sirup.lkpp.go.id/sirup/home/detailPaketPenyediaPublic2017/23403481"/>
    <hyperlink ref="E34" r:id="rId11" display="https://sirup.lkpp.go.id/sirup/home/detailPaketPenyediaPublic2017/23403557"/>
    <hyperlink ref="E35" r:id="rId12" display="https://sirup.lkpp.go.id/sirup/home/detailPaketPenyediaPublic2017/23403775"/>
    <hyperlink ref="E36" r:id="rId13" display="https://sirup.lkpp.go.id/sirup/home/detailPaketPenyediaPublic2017/23403829"/>
    <hyperlink ref="E37" r:id="rId14" display="https://sirup.lkpp.go.id/sirup/home/detailPaketPenyediaPublic2017/23403896"/>
    <hyperlink ref="E38" r:id="rId15" display="https://sirup.lkpp.go.id/sirup/home/detailPaketPenyediaPublic2017/23404093"/>
    <hyperlink ref="E39" r:id="rId16" display="https://sirup.lkpp.go.id/sirup/home/detailPaketPenyediaPublic2017/23404189"/>
    <hyperlink ref="E40" r:id="rId17" display="https://sirup.lkpp.go.id/sirup/home/detailPaketPenyediaPublic2017/23404529"/>
    <hyperlink ref="E41" r:id="rId18" display="https://sirup.lkpp.go.id/sirup/home/detailPaketPenyediaPublic2017/23404768"/>
    <hyperlink ref="E42" r:id="rId19" display="https://sirup.lkpp.go.id/sirup/home/detailPaketPenyediaPublic2017/23405311"/>
    <hyperlink ref="E43" r:id="rId20" display="https://sirup.lkpp.go.id/sirup/home/detailPaketPenyediaPublic2017/23405385"/>
    <hyperlink ref="E44" r:id="rId21" display="https://sirup.lkpp.go.id/sirup/home/detailPaketPenyediaPublic2017/23405508"/>
    <hyperlink ref="E45" r:id="rId22" display="https://sirup.lkpp.go.id/sirup/home/detailPaketPenyediaPublic2017/23405624"/>
    <hyperlink ref="E46" r:id="rId23" display="https://sirup.lkpp.go.id/sirup/home/detailPaketPenyediaPublic2017/23405896"/>
    <hyperlink ref="E47" r:id="rId24" display="https://sirup.lkpp.go.id/sirup/home/detailPaketPenyediaPublic2017/23406765"/>
    <hyperlink ref="E48" r:id="rId25" display="https://sirup.lkpp.go.id/sirup/home/detailPaketPenyediaPublic2017/23407162"/>
    <hyperlink ref="E49" r:id="rId26" display="https://sirup.lkpp.go.id/sirup/home/detailPaketPenyediaPublic2017/23408476"/>
    <hyperlink ref="E50" r:id="rId27" display="https://sirup.lkpp.go.id/sirup/home/detailPaketPenyediaPublic2017/23408559"/>
    <hyperlink ref="E51" r:id="rId28" display="https://sirup.lkpp.go.id/sirup/home/detailPaketPenyediaPublic2017/23409108"/>
    <hyperlink ref="E52" r:id="rId29" display="https://sirup.lkpp.go.id/sirup/home/detailPaketPenyediaPublic2017/23409205"/>
    <hyperlink ref="E53" r:id="rId30" display="https://sirup.lkpp.go.id/sirup/home/detailPaketPenyediaPublic2017/23409345"/>
    <hyperlink ref="E54" r:id="rId31" display="https://sirup.lkpp.go.id/sirup/home/detailPaketPenyediaPublic2017/23409392"/>
    <hyperlink ref="E55" r:id="rId32" display="https://sirup.lkpp.go.id/sirup/home/detailPaketPenyediaPublic2017/23409454"/>
    <hyperlink ref="E56" r:id="rId33" display="https://sirup.lkpp.go.id/sirup/home/detailPaketPenyediaPublic2017/23414913"/>
    <hyperlink ref="E57" r:id="rId34" display="https://sirup.lkpp.go.id/sirup/home/detailPaketPenyediaPublic2017/23425761"/>
    <hyperlink ref="E58" r:id="rId35" display="https://sirup.lkpp.go.id/sirup/home/detailPaketPenyediaPublic2017/23425820"/>
    <hyperlink ref="E59" r:id="rId36" display="https://sirup.lkpp.go.id/sirup/home/detailPaketPenyediaPublic2017/23425863"/>
    <hyperlink ref="E60" r:id="rId37" display="https://sirup.lkpp.go.id/sirup/home/detailPaketPenyediaPublic2017/23425892"/>
    <hyperlink ref="E61" r:id="rId38" display="https://sirup.lkpp.go.id/sirup/home/detailPaketPenyediaPublic2017/23425928"/>
    <hyperlink ref="E62" r:id="rId39" display="https://sirup.lkpp.go.id/sirup/home/detailPaketPenyediaPublic2017/23426044"/>
    <hyperlink ref="E63" r:id="rId40" display="https://sirup.lkpp.go.id/sirup/home/detailPaketPenyediaPublic2017/23426172"/>
    <hyperlink ref="E64" r:id="rId41" display="https://sirup.lkpp.go.id/sirup/home/detailPaketPenyediaPublic2017/23426615"/>
    <hyperlink ref="E65" r:id="rId42" display="https://sirup.lkpp.go.id/sirup/home/detailPaketPenyediaPublic2017/23428466"/>
    <hyperlink ref="E66" r:id="rId43" display="https://sirup.lkpp.go.id/sirup/home/detailPaketPenyediaPublic2017/23428733"/>
    <hyperlink ref="E67" r:id="rId44" display="https://sirup.lkpp.go.id/sirup/home/detailPaketPenyediaPublic2017/23428823"/>
    <hyperlink ref="E68" r:id="rId45" display="https://sirup.lkpp.go.id/sirup/home/detailPaketPenyediaPublic2017/23429060"/>
    <hyperlink ref="E69" r:id="rId46" display="https://sirup.lkpp.go.id/sirup/home/detailPaketPenyediaPublic2017/23429111"/>
    <hyperlink ref="E70" r:id="rId47" display="https://sirup.lkpp.go.id/sirup/home/detailPaketPenyediaPublic2017/23429172"/>
    <hyperlink ref="E71" r:id="rId48" display="https://sirup.lkpp.go.id/sirup/home/detailPaketPenyediaPublic2017/23431953"/>
    <hyperlink ref="E72" r:id="rId49" display="https://sirup.lkpp.go.id/sirup/home/detailPaketPenyediaPublic2017/23432521"/>
    <hyperlink ref="E73" r:id="rId50" display="https://sirup.lkpp.go.id/sirup/home/detailPaketPenyediaPublic2017/23433680"/>
    <hyperlink ref="E74" r:id="rId51" display="https://sirup.lkpp.go.id/sirup/home/detailPaketPenyediaPublic2017/23436717"/>
    <hyperlink ref="E75" r:id="rId52" display="https://sirup.lkpp.go.id/sirup/home/detailPaketPenyediaPublic2017/23436860"/>
    <hyperlink ref="E76" r:id="rId53" display="https://sirup.lkpp.go.id/sirup/home/detailPaketPenyediaPublic2017/23436977"/>
    <hyperlink ref="E77" r:id="rId54" display="https://sirup.lkpp.go.id/sirup/home/detailPaketPenyediaPublic2017/23437170"/>
    <hyperlink ref="E78" r:id="rId55" display="https://sirup.lkpp.go.id/sirup/home/detailPaketPenyediaPublic2017/23437723"/>
    <hyperlink ref="E79" r:id="rId56" display="https://sirup.lkpp.go.id/sirup/home/detailPaketPenyediaPublic2017/23437826"/>
    <hyperlink ref="E80" r:id="rId57" display="https://sirup.lkpp.go.id/sirup/home/detailPaketPenyediaPublic2017/23437889"/>
    <hyperlink ref="E81" r:id="rId58" display="https://sirup.lkpp.go.id/sirup/home/detailPaketPenyediaPublic2017/23438117"/>
    <hyperlink ref="E82" r:id="rId59" display="https://sirup.lkpp.go.id/sirup/home/detailPaketPenyediaPublic2017/23438200"/>
    <hyperlink ref="E83" r:id="rId60" display="https://sirup.lkpp.go.id/sirup/home/detailPaketPenyediaPublic2017/23438280"/>
    <hyperlink ref="E84" r:id="rId61" display="https://sirup.lkpp.go.id/sirup/home/detailPaketPenyediaPublic2017/23438348"/>
    <hyperlink ref="E85" r:id="rId62" display="https://sirup.lkpp.go.id/sirup/home/detailPaketPenyediaPublic2017/23513838"/>
    <hyperlink ref="E86" r:id="rId63" display="https://sirup.lkpp.go.id/sirup/home/detailPaketPenyediaPublic2017/23514099"/>
    <hyperlink ref="E87" r:id="rId64" display="https://sirup.lkpp.go.id/sirup/home/detailPaketPenyediaPublic2017/23520288"/>
    <hyperlink ref="E88" r:id="rId65" display="https://sirup.lkpp.go.id/sirup/home/detailPaketPenyediaPublic2017/23520521"/>
    <hyperlink ref="E89" r:id="rId66" display="https://sirup.lkpp.go.id/sirup/home/detailPaketPenyediaPublic2017/23520591"/>
    <hyperlink ref="E90" r:id="rId67" display="https://sirup.lkpp.go.id/sirup/home/detailPaketPenyediaPublic2017/23520826"/>
    <hyperlink ref="E91" r:id="rId68" display="https://sirup.lkpp.go.id/sirup/home/detailPaketPenyediaPublic2017/23527647"/>
    <hyperlink ref="E92" r:id="rId69" display="https://sirup.lkpp.go.id/sirup/home/detailPaketPenyediaPublic2017/23527856"/>
    <hyperlink ref="E93" r:id="rId70" display="https://sirup.lkpp.go.id/sirup/home/detailPaketPenyediaPublic2017/23528132"/>
    <hyperlink ref="E94" r:id="rId71" display="https://sirup.lkpp.go.id/sirup/home/detailPaketPenyediaPublic2017/23529840"/>
    <hyperlink ref="E95" r:id="rId72" display="https://sirup.lkpp.go.id/sirup/home/detailPaketPenyediaPublic2017/24236032"/>
    <hyperlink ref="E96" r:id="rId73" display="https://sirup.lkpp.go.id/sirup/home/detailPaketPenyediaPublic2017/24321386"/>
    <hyperlink ref="E97" r:id="rId74" display="https://sirup.lkpp.go.id/sirup/home/detailPaketPenyediaPublic2017/24322315"/>
    <hyperlink ref="E98" r:id="rId75" display="https://sirup.lkpp.go.id/sirup/home/detailPaketPenyediaPublic2017/24327084"/>
    <hyperlink ref="E99" r:id="rId76" display="https://sirup.lkpp.go.id/sirup/home/detailPaketPenyediaPublic2017/24327754"/>
    <hyperlink ref="E100" r:id="rId77" display="https://sirup.lkpp.go.id/sirup/home/detailPaketPenyediaPublic2017/24327865"/>
    <hyperlink ref="E101" r:id="rId78" display="https://sirup.lkpp.go.id/sirup/home/detailPaketPenyediaPublic2017/24328236"/>
    <hyperlink ref="E102" r:id="rId79" display="https://sirup.lkpp.go.id/sirup/home/detailPaketPenyediaPublic2017/24329073"/>
    <hyperlink ref="E103" r:id="rId80" display="https://sirup.lkpp.go.id/sirup/home/detailPaketPenyediaPublic2017/24330046"/>
    <hyperlink ref="E104" r:id="rId81" display="https://sirup.lkpp.go.id/sirup/home/detailPaketPenyediaPublic2017/24330671"/>
    <hyperlink ref="E105" r:id="rId82" display="https://sirup.lkpp.go.id/sirup/home/detailPaketPenyediaPublic2017/24332380"/>
    <hyperlink ref="E106" r:id="rId83" display="https://sirup.lkpp.go.id/sirup/home/detailPaketPenyediaPublic2017/24332482"/>
    <hyperlink ref="E107" r:id="rId84" display="https://sirup.lkpp.go.id/sirup/home/detailPaketPenyediaPublic2017/24332617"/>
    <hyperlink ref="E108" r:id="rId85" display="https://sirup.lkpp.go.id/sirup/home/detailPaketPenyediaPublic2017/24332814"/>
    <hyperlink ref="E130" r:id="rId86" display="https://sirup.lkpp.go.id/sirup/home/detailPaketPenyediaPublic2017/23435794"/>
    <hyperlink ref="E135" r:id="rId87" display="https://sirup.lkpp.go.id/sirup/home/detailPaketPenyediaPublic2017/24329585"/>
    <hyperlink ref="E134" r:id="rId88" display="https://sirup.lkpp.go.id/sirup/home/detailPaketPenyediaPublic2017/24210063"/>
    <hyperlink ref="E133" r:id="rId89" display="https://sirup.lkpp.go.id/sirup/home/detailPaketPenyediaPublic2017/23473238"/>
    <hyperlink ref="E132" r:id="rId90" display="https://sirup.lkpp.go.id/sirup/home/detailPaketPenyediaPublic2017/23468324"/>
    <hyperlink ref="E131" r:id="rId91" display="https://sirup.lkpp.go.id/sirup/home/detailPaketPenyediaPublic2017/23436729"/>
    <hyperlink ref="E170" r:id="rId92" display="https://sirup.lkpp.go.id/sirup/home/detailPaketPenyediaPublic2017/25057031"/>
    <hyperlink ref="F172" r:id="rId93" display="https://sirup.lkpp.go.id/sirup/home/detailPaketPenyediaPublic2017/25140305"/>
    <hyperlink ref="F173" r:id="rId94" display="https://sirup.lkpp.go.id/sirup/home/detailPaketPenyediaPublic2017/25140464"/>
    <hyperlink ref="E172" r:id="rId95" display="https://sirup.lkpp.go.id/sirup/home/detailPaketPenyediaPublic2017/25140305"/>
    <hyperlink ref="E173" r:id="rId96" display="https://sirup.lkpp.go.id/sirup/home/detailPaketPenyediaPublic2017/25140464"/>
    <hyperlink ref="E181" r:id="rId97" display="https://sirup.lkpp.go.id/sirup/home/detailPaketPenyediaPublic2017/25136185"/>
    <hyperlink ref="E111" r:id="rId98" display="https://sirup.lkpp.go.id/sirup/home/detailPaketPenyediaPublic2017/25180203"/>
    <hyperlink ref="E112" r:id="rId99" display="https://sirup.lkpp.go.id/sirup/home/detailPaketPenyediaPublic2017/25180329"/>
    <hyperlink ref="E113" r:id="rId100" display="https://sirup.lkpp.go.id/sirup/home/detailPaketPenyediaPublic2017/25180625"/>
    <hyperlink ref="E114" r:id="rId101" display="https://sirup.lkpp.go.id/sirup/home/detailPaketPenyediaPublic2017/25180751"/>
    <hyperlink ref="E115" r:id="rId102" display="https://sirup.lkpp.go.id/sirup/home/detailPaketPenyediaPublic2017/25184915"/>
    <hyperlink ref="E116" r:id="rId103" display="https://sirup.lkpp.go.id/sirup/home/detailPaketPenyediaPublic2017/25184985"/>
    <hyperlink ref="E117" r:id="rId104" display="https://sirup.lkpp.go.id/sirup/home/detailPaketPenyediaPublic2017/25185071"/>
    <hyperlink ref="E118" r:id="rId105" display="https://sirup.lkpp.go.id/sirup/home/detailPaketPenyediaPublic2017/25185119"/>
    <hyperlink ref="E119" r:id="rId106" display="https://sirup.lkpp.go.id/sirup/home/detailPaketPenyediaPublic2017/25181781"/>
    <hyperlink ref="E120" r:id="rId107" display="https://sirup.lkpp.go.id/sirup/home/detailPaketPenyediaPublic2017/25181955"/>
    <hyperlink ref="E121" r:id="rId108" display="https://sirup.lkpp.go.id/sirup/home/detailPaketPenyediaPublic2017/25182117"/>
    <hyperlink ref="E122" r:id="rId109" display="https://sirup.lkpp.go.id/sirup/home/detailPaketPenyediaPublic2017/25182314"/>
    <hyperlink ref="E123" r:id="rId110" display="https://sirup.lkpp.go.id/sirup/home/detailPaketPenyediaPublic2017/25182658"/>
    <hyperlink ref="E124" r:id="rId111" display="https://sirup.lkpp.go.id/sirup/home/detailPaketPenyediaPublic2017/25182721"/>
    <hyperlink ref="E125" r:id="rId112" display="https://sirup.lkpp.go.id/sirup/home/detailPaketPenyediaPublic2017/25182818"/>
    <hyperlink ref="E126" r:id="rId113" display="https://sirup.lkpp.go.id/sirup/home/detailPaketPenyediaPublic2017/25182898"/>
    <hyperlink ref="E127" r:id="rId114" display="https://sirup.lkpp.go.id/sirup/home/detailPaketPenyediaPublic2017/25182970"/>
    <hyperlink ref="E128" r:id="rId115" display="https://sirup.lkpp.go.id/sirup/home/detailPaketPenyediaPublic2017/25183063"/>
    <hyperlink ref="E129" r:id="rId116" display="https://sirup.lkpp.go.id/sirup/home/detailPaketPenyediaPublic2017/25183149"/>
  </hyperlinks>
  <pageMargins left="0.25" right="0.25" top="0.3" bottom="0.27" header="0.3" footer="0.3"/>
  <pageSetup paperSize="256" scale="82" fitToHeight="0" orientation="landscape" r:id="rId1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9" zoomScaleNormal="100" workbookViewId="0">
      <selection activeCell="R35" sqref="R35"/>
    </sheetView>
  </sheetViews>
  <sheetFormatPr defaultColWidth="9.1796875" defaultRowHeight="13" x14ac:dyDescent="0.35"/>
  <cols>
    <col min="1" max="1" width="7.1796875" style="34" customWidth="1"/>
    <col min="2" max="2" width="68" style="34" customWidth="1"/>
    <col min="3" max="3" width="39.54296875" style="34" hidden="1" customWidth="1"/>
    <col min="4" max="4" width="47.7265625" style="34" hidden="1" customWidth="1"/>
    <col min="5" max="5" width="37.26953125" style="34" hidden="1" customWidth="1"/>
    <col min="6" max="6" width="26.7265625" style="34" hidden="1" customWidth="1"/>
    <col min="7" max="7" width="82.1796875" style="34" hidden="1" customWidth="1"/>
    <col min="8" max="8" width="64.453125" style="34" hidden="1" customWidth="1"/>
    <col min="9" max="9" width="9.81640625" style="34" hidden="1" customWidth="1"/>
    <col min="10" max="10" width="62.453125" style="34" hidden="1" customWidth="1"/>
    <col min="11" max="11" width="2" style="34" hidden="1" customWidth="1"/>
    <col min="12" max="12" width="60.54296875" style="34" hidden="1" customWidth="1"/>
    <col min="13" max="13" width="2.26953125" style="34" hidden="1" customWidth="1"/>
    <col min="14" max="14" width="41.1796875" style="34" hidden="1" customWidth="1"/>
    <col min="15" max="15" width="12.453125" style="34" customWidth="1"/>
    <col min="16" max="16" width="17.7265625" style="34" customWidth="1"/>
    <col min="17" max="17" width="9.7265625" style="34" customWidth="1"/>
    <col min="18" max="18" width="18.1796875" style="34" customWidth="1"/>
    <col min="19" max="19" width="12.7265625" style="34" customWidth="1"/>
    <col min="20" max="20" width="19.7265625" style="34" customWidth="1"/>
    <col min="21" max="16384" width="9.1796875" style="34"/>
  </cols>
  <sheetData>
    <row r="1" spans="1:20" ht="13.5" x14ac:dyDescent="0.25">
      <c r="A1" s="197" t="s">
        <v>213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20" ht="13.5" x14ac:dyDescent="0.25">
      <c r="A2" s="197" t="s">
        <v>214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ht="13.5" x14ac:dyDescent="0.25">
      <c r="A3" s="197" t="s">
        <v>168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</row>
    <row r="5" spans="1:20" ht="25.5" customHeight="1" x14ac:dyDescent="0.35">
      <c r="A5" s="196" t="s">
        <v>207</v>
      </c>
      <c r="B5" s="196" t="s">
        <v>208</v>
      </c>
      <c r="C5" s="194" t="s">
        <v>211</v>
      </c>
      <c r="D5" s="194"/>
      <c r="E5" s="194"/>
      <c r="F5" s="194"/>
      <c r="G5" s="194"/>
      <c r="H5" s="194"/>
      <c r="I5" s="195" t="s">
        <v>212</v>
      </c>
      <c r="J5" s="195"/>
      <c r="K5" s="195"/>
      <c r="L5" s="195"/>
      <c r="M5" s="195"/>
      <c r="N5" s="195"/>
      <c r="O5" s="200" t="s">
        <v>215</v>
      </c>
      <c r="P5" s="201"/>
      <c r="Q5" s="200" t="s">
        <v>216</v>
      </c>
      <c r="R5" s="201"/>
      <c r="S5" s="200" t="s">
        <v>217</v>
      </c>
      <c r="T5" s="201"/>
    </row>
    <row r="6" spans="1:20" ht="25.5" customHeight="1" x14ac:dyDescent="0.35">
      <c r="A6" s="196"/>
      <c r="B6" s="196"/>
      <c r="C6" s="194" t="s">
        <v>172</v>
      </c>
      <c r="D6" s="194"/>
      <c r="E6" s="194" t="s">
        <v>173</v>
      </c>
      <c r="F6" s="194"/>
      <c r="G6" s="194" t="s">
        <v>174</v>
      </c>
      <c r="H6" s="194"/>
      <c r="I6" s="195" t="s">
        <v>172</v>
      </c>
      <c r="J6" s="195"/>
      <c r="K6" s="195" t="s">
        <v>173</v>
      </c>
      <c r="L6" s="195"/>
      <c r="M6" s="195" t="s">
        <v>174</v>
      </c>
      <c r="N6" s="195"/>
      <c r="O6" s="198" t="s">
        <v>178</v>
      </c>
      <c r="P6" s="198" t="s">
        <v>171</v>
      </c>
      <c r="Q6" s="198" t="s">
        <v>178</v>
      </c>
      <c r="R6" s="198" t="s">
        <v>171</v>
      </c>
      <c r="S6" s="198" t="s">
        <v>178</v>
      </c>
      <c r="T6" s="198" t="s">
        <v>171</v>
      </c>
    </row>
    <row r="7" spans="1:20" ht="25.5" customHeight="1" x14ac:dyDescent="0.35">
      <c r="A7" s="196"/>
      <c r="B7" s="196"/>
      <c r="C7" s="44" t="s">
        <v>209</v>
      </c>
      <c r="D7" s="44" t="s">
        <v>210</v>
      </c>
      <c r="E7" s="44" t="s">
        <v>209</v>
      </c>
      <c r="F7" s="44" t="s">
        <v>210</v>
      </c>
      <c r="G7" s="44" t="s">
        <v>209</v>
      </c>
      <c r="H7" s="44" t="s">
        <v>210</v>
      </c>
      <c r="I7" s="45" t="s">
        <v>209</v>
      </c>
      <c r="J7" s="45" t="s">
        <v>210</v>
      </c>
      <c r="K7" s="45" t="s">
        <v>209</v>
      </c>
      <c r="L7" s="45" t="s">
        <v>210</v>
      </c>
      <c r="M7" s="45" t="s">
        <v>209</v>
      </c>
      <c r="N7" s="45" t="s">
        <v>210</v>
      </c>
      <c r="O7" s="199"/>
      <c r="P7" s="199"/>
      <c r="Q7" s="199"/>
      <c r="R7" s="199"/>
      <c r="S7" s="199"/>
      <c r="T7" s="199"/>
    </row>
    <row r="8" spans="1:20" ht="13.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35"/>
      <c r="R8" s="35"/>
      <c r="S8" s="35"/>
      <c r="T8" s="35"/>
    </row>
    <row r="9" spans="1:20" ht="27" x14ac:dyDescent="0.25">
      <c r="A9" s="35">
        <v>1</v>
      </c>
      <c r="B9" s="37" t="s">
        <v>6</v>
      </c>
      <c r="C9" s="35">
        <f>COUNTIFS(MASTER!B7:B1016,"BADAN KEPEGAWAIAN PENDIDIKAN DAN PELATIHAN",MASTER!G7:G1016,"TENDER")</f>
        <v>1</v>
      </c>
      <c r="D9" s="40">
        <f>SUMIFS(MASTER!F7:F1016,MASTER!B7:B1016,"BADAN KEPEGAWAIAN PENDIDIKAN DAN PELATIHAN",MASTER!G7:G1016,"TENDER")</f>
        <v>1286250000</v>
      </c>
      <c r="E9" s="35">
        <f>COUNTIFS(MASTER!B7:B1016,"BADAN KEPEGAWAIAN PENDIDIKAN DAN PELATIHAN",MASTER!G7:G1016,"TENDER CEPAT")</f>
        <v>0</v>
      </c>
      <c r="F9" s="40">
        <f>SUMIFS(MASTER!F7:F1016,MASTER!B7:B1016,"BADAN KEPEGAWAIAN PENDIDIKAN DAN PELATIHAN",MASTER!G7:G1016,"TENDER CEPAT")</f>
        <v>0</v>
      </c>
      <c r="G9" s="35">
        <f>COUNTIFS(MASTER!B7:B1016,"BADAN KEPEGAWAIAN PENDIDIKAN DAN PELATIHAN",MASTER!G7:G1016,"SELEKSI")</f>
        <v>0</v>
      </c>
      <c r="H9" s="40">
        <f>SUMIFS(MASTER!F7:F1016,MASTER!B7:B1016,"BADAN KEPEGAWAIAN PENDIDIKAN DAN PELATIHAN",MASTER!G7:G1016,"SELEKSI")</f>
        <v>0</v>
      </c>
      <c r="I9" s="35">
        <f>COUNTIFS(MASTER!B7:B1016,"BADAN KEPEGAWAIAN PENDIDIKAN DAN PELATIHAN",MASTER!G7:G1016,"TENDER",MASTER!N7:N1016,"KONTRAK")</f>
        <v>0</v>
      </c>
      <c r="J9" s="39">
        <f>SUMIFS(MASTER!L7:L1016,MASTER!B7:B1016,"BADAN KEPEGAWAIAN PENDIDIKAN DAN PELATIHAN",MASTER!G7:G1016,"TENDER", MASTER!N7:N1016,"KONTRAK")</f>
        <v>0</v>
      </c>
      <c r="K9" s="35">
        <f>COUNTIFS(MASTER!B7:B1016,"BADAN KEPEGAWAIAN PENDIDIKAN DAN PELATIHAN",MASTER!G7:G1016,"TENDER CEPAT",MASTER!N7:N1016,"KONTRAK")</f>
        <v>0</v>
      </c>
      <c r="L9" s="38">
        <f>SUMIFS(MASTER!L7:L1016,MASTER!B7:B1016,"BADAN KEPEGAWAIAN PENDIDIKAN DAN PELATIHAN",MASTER!G7:G1016,"TENDER CEPAT", MASTER!N7:N1016,"KONTRAK")</f>
        <v>0</v>
      </c>
      <c r="M9" s="35">
        <f>COUNTIFS(MASTER!B7:B1016,"BADAN KEPEGAWAIAN PENDIDIKAN DAN PELATIHAN",MASTER!G7:G1016,"SELEKSI",MASTER!N7:N1016,"KONTRAK")</f>
        <v>0</v>
      </c>
      <c r="N9" s="38">
        <f>SUMIFS(MASTER!L7:L1016,MASTER!B7:B1016,"BADAN KEPEGAWAIAN PENDIDIKAN DAN PELATIHAN",MASTER!G7:G1016,"SELEKSI", MASTER!N7:N1016,"KONTRAK")</f>
        <v>0</v>
      </c>
      <c r="O9" s="90">
        <f>C9+E9+G9</f>
        <v>1</v>
      </c>
      <c r="P9" s="48">
        <f>D9+F9+H9</f>
        <v>1286250000</v>
      </c>
      <c r="Q9" s="40">
        <f>I9+K9+M9</f>
        <v>0</v>
      </c>
      <c r="R9" s="38">
        <f>J9+L9+N9</f>
        <v>0</v>
      </c>
      <c r="S9" s="91">
        <f>(C9+E9+G9)-(I9+K9+M9)</f>
        <v>1</v>
      </c>
      <c r="T9" s="38">
        <f>(D9+F9+H9)-(J9+L9+N9)</f>
        <v>1286250000</v>
      </c>
    </row>
    <row r="10" spans="1:20" ht="27" x14ac:dyDescent="0.25">
      <c r="A10" s="35">
        <v>2</v>
      </c>
      <c r="B10" s="37" t="s">
        <v>3</v>
      </c>
      <c r="C10" s="35">
        <f>COUNTIFS(MASTER!B7:B1016,"BADAN PENANGGULANGAN BENCANA DAERAH",MASTER!G7:G1016,"TENDER")</f>
        <v>1</v>
      </c>
      <c r="D10" s="40">
        <f>SUMIFS(MASTER!F7:F1016,MASTER!B7:B1016,"BADAN PENANGGULANGAN BENCANA DAERAH",MASTER!G7:G1016,"TENDER")</f>
        <v>755600000</v>
      </c>
      <c r="E10" s="35">
        <f>COUNTIFS(MASTER!B7:B1016,"BADAN PENANGGULANGAN BENCANA DAERAH",MASTER!G7:G1016,"TENDER CEPAT")</f>
        <v>0</v>
      </c>
      <c r="F10" s="40">
        <f>SUMIFS(MASTER!H8:H1017,MASTER!D7:D1016,"BADAN PENANGGULANGAN BENCANA DAERAH",MASTER!I7:I1016,"TENDER CEPAT")</f>
        <v>0</v>
      </c>
      <c r="G10" s="35">
        <f>COUNTIFS(MASTER!B7:B1016,"BADAN PENANGGULANGAN BENCANA DAERAH",MASTER!G7:G1016,"SELEKSI")</f>
        <v>0</v>
      </c>
      <c r="H10" s="40">
        <f>SUMIFS(MASTER!J8:J1017,MASTER!F7:F1016,"BADAN PENANGGULANGAN BENCANA DAERAH",MASTER!K7:K1016,"SELEKSI")</f>
        <v>0</v>
      </c>
      <c r="I10" s="35">
        <f>COUNTIFS(MASTER!B7:B1016,"BADAN PENANGGULANGAN BENCANA DAERAH",MASTER!G7:G1016,"TENDER",MASTER!N7:N1016,"KONTRAK")</f>
        <v>0</v>
      </c>
      <c r="J10" s="39">
        <f>SUMIFS(MASTER!L7:L1016,MASTER!B7:B1016,"BADAN PENANGGULANGAN BENCANA DAERAH",MASTER!G7:G1016,"TENDER", MASTER!N7:N1016,"KONTRAK")</f>
        <v>0</v>
      </c>
      <c r="K10" s="35">
        <f>COUNTIFS(MASTER!B7:B1016,"BADAN PENANGGULANGAN BENCANA DAERAH",MASTER!G7:G1016,"TENDER CEPAT",MASTER!N7:N1016,"KONTRAK")</f>
        <v>0</v>
      </c>
      <c r="L10" s="38">
        <f>SUMIFS(MASTER!L7:L1016,MASTER!B7:B1016,"BADAN PENANGGULANGAN BENCANA DAERAH",MASTER!G7:G1016,"TENDER CEPAT", MASTER!N7:N1016,"KONTRAK")</f>
        <v>0</v>
      </c>
      <c r="M10" s="35">
        <f>COUNTIFS(MASTER!B7:B1016,"BADAN PENANGGULANGAN BENCANA DAERAH",MASTER!G7:G1016,"SELEKSI",MASTER!N7:N1016,"KONTRAK")</f>
        <v>0</v>
      </c>
      <c r="N10" s="38">
        <f>SUMIFS(MASTER!L7:L1016,MASTER!B7:B1016,"BADAN PENANGGULANGAN BENCANA DAERAH",MASTER!G7:G1016,"SELEKSI", MASTER!N7:N1016,"KONTRAK")</f>
        <v>0</v>
      </c>
      <c r="O10" s="90">
        <f t="shared" ref="O10:O29" si="0">C10+E10+G10</f>
        <v>1</v>
      </c>
      <c r="P10" s="48">
        <f t="shared" ref="P10:P29" si="1">D10+F10+H10</f>
        <v>755600000</v>
      </c>
      <c r="Q10" s="40">
        <f t="shared" ref="Q10:Q29" si="2">I10+K10+M10</f>
        <v>0</v>
      </c>
      <c r="R10" s="38">
        <f t="shared" ref="R10:R29" si="3">J10+L10+N10</f>
        <v>0</v>
      </c>
      <c r="S10" s="91">
        <f t="shared" ref="S10:S29" si="4">(C10+E10+G10)-(I10+K10+M10)</f>
        <v>1</v>
      </c>
      <c r="T10" s="38">
        <f t="shared" ref="T10:T29" si="5">(D10+F10+H10)-(J10+L10+N10)</f>
        <v>755600000</v>
      </c>
    </row>
    <row r="11" spans="1:20" ht="18.75" customHeight="1" x14ac:dyDescent="0.25">
      <c r="A11" s="35">
        <v>3</v>
      </c>
      <c r="B11" s="37" t="s">
        <v>14</v>
      </c>
      <c r="C11" s="35">
        <f>COUNTIFS(MASTER!B7:B1016,"BAGIAN UMUM",MASTER!G7:G1016,"TENDER")</f>
        <v>4</v>
      </c>
      <c r="D11" s="40">
        <f>SUMIFS(MASTER!F7:F1016,MASTER!B7:B1016,"BAGIAN UMUM",MASTER!G7:G1016,"TENDER")</f>
        <v>17246270000</v>
      </c>
      <c r="E11" s="40">
        <f>COUNTIFS(MASTER!B7:B1016,"BAGIAN UMUM",MASTER!G7:G1016,"TENDER CEPAT")</f>
        <v>2</v>
      </c>
      <c r="F11" s="40">
        <f>SUMIFS(MASTER!F7:F1016,MASTER!B7:B1016,"BAGIAN UMUM",MASTER!G7:G1016,"TENDER CEPAT")</f>
        <v>1514576000</v>
      </c>
      <c r="G11" s="35">
        <f>COUNTIFS(MASTER!B7:B1016,"BAGIAN UMUM",MASTER!G7:G1016,"SELEKSI")</f>
        <v>0</v>
      </c>
      <c r="H11" s="40">
        <f>SUMIFS(MASTER!F7:F1016,MASTER!B7:B1016,"BAGIAN UMUM",MASTER!G7:G1016,"SELEKSI")</f>
        <v>0</v>
      </c>
      <c r="I11" s="35">
        <f>COUNTIFS(MASTER!B7:B1016,"BAGIAN UMUM",MASTER!G7:G1016,"TENDER",MASTER!N7:N1016,"KONTRAK")</f>
        <v>0</v>
      </c>
      <c r="J11" s="39">
        <f>SUMIFS(MASTER!L7:L1016,MASTER!B7:B1016,"BAGIAN UMUM",MASTER!G7:G1016,"TENDER", MASTER!N7:N1016,"KONTRAK")</f>
        <v>0</v>
      </c>
      <c r="K11" s="35">
        <f>COUNTIFS(MASTER!B7:B1016,"BAGIAN UMUM",MASTER!G7:G1016,"TENDER CEPAT",MASTER!N7:N1016,"KONTRAK")</f>
        <v>2</v>
      </c>
      <c r="L11" s="38">
        <f>SUMIFS(MASTER!L7:L1016,MASTER!B7:B1016,"BAGIAN UMUM",MASTER!G7:G1016,"TENDER CEPAT", MASTER!N7:N1016,"KONTRAK")</f>
        <v>1178691937</v>
      </c>
      <c r="M11" s="35">
        <f>COUNTIFS(MASTER!B7:B1016,"BAGIAN UMUM",MASTER!G7:G1016,"SELEKSI",MASTER!N7:N1016,"KONTRAK")</f>
        <v>0</v>
      </c>
      <c r="N11" s="38">
        <f>SUMIFS(MASTER!L7:L1016,MASTER!B7:B1016,"BAGIAN UMUM",MASTER!G7:G1016,"SELEKSI", MASTER!N7:N1016,"KONTRAK")</f>
        <v>0</v>
      </c>
      <c r="O11" s="90">
        <f t="shared" si="0"/>
        <v>6</v>
      </c>
      <c r="P11" s="48">
        <f t="shared" si="1"/>
        <v>18760846000</v>
      </c>
      <c r="Q11" s="40">
        <f t="shared" si="2"/>
        <v>2</v>
      </c>
      <c r="R11" s="38">
        <f t="shared" si="3"/>
        <v>1178691937</v>
      </c>
      <c r="S11" s="91">
        <f t="shared" si="4"/>
        <v>4</v>
      </c>
      <c r="T11" s="38">
        <f t="shared" si="5"/>
        <v>17582154063</v>
      </c>
    </row>
    <row r="12" spans="1:20" ht="13.5" x14ac:dyDescent="0.25">
      <c r="A12" s="71">
        <v>4</v>
      </c>
      <c r="B12" s="37" t="s">
        <v>19</v>
      </c>
      <c r="C12" s="35">
        <f>COUNTIFS(MASTER!B7:B1016,"DINAS PEMBERDAYAAN MASYARAKAT DESA",MASTER!G7:G1016,"TENDER")</f>
        <v>2</v>
      </c>
      <c r="D12" s="40">
        <f>SUMIFS(MASTER!F7:F1016,MASTER!B7:B1016,"DINAS PEMBERDAYAAN MASYARAKAT DESA",MASTER!G7:G1016,"TENDER")</f>
        <v>854650000</v>
      </c>
      <c r="E12" s="35">
        <f>COUNTIFS(MASTER!B7:B1016,"DINAS PEMBERDAYAAN MASYARAKAT DESA",MASTER!G7:G1016,"TENDER CEPAT")</f>
        <v>1</v>
      </c>
      <c r="F12" s="40">
        <f>SUMIFS(MASTER!F7:F1016,MASTER!B7:B1016,"DINAS PEMBERDAYAAN MASYARAKAT DESA",MASTER!G7:G1016,"TENDER CEPAT")</f>
        <v>628520000</v>
      </c>
      <c r="G12" s="35">
        <f>COUNTIFS(MASTER!B7:B1016,"DINAS PEMBERDAYAAN MASYARAKAT DESA",MASTER!G7:G1016,"SELEKSI")</f>
        <v>0</v>
      </c>
      <c r="H12" s="40">
        <f>SUMIFS(MASTER!F7:F1016,MASTER!B7:B1016,"DINAS PEMBERDAYAAN MASYARAKAT DESA",MASTER!G7:G1016,"SELEKSI")</f>
        <v>0</v>
      </c>
      <c r="I12" s="35">
        <f>COUNTIFS(MASTER!B7:B1016,"DINAS PEMBERDAYAAN MASYARAKAT DESA",MASTER!G7:G1016,"TENDER",MASTER!N7:N1016,"KONTRAK")</f>
        <v>0</v>
      </c>
      <c r="J12" s="39">
        <f>SUMIFS(MASTER!L7:L1016,MASTER!B7:B1016,"DINAS PEMBERDAYAAN MASYARAKAT DESA",MASTER!G7:G1016,"TENDER", MASTER!N7:N1016,"KONTRAK")</f>
        <v>0</v>
      </c>
      <c r="K12" s="35">
        <f>COUNTIFS(MASTER!B7:B1016,"DINAS PEMBERDAYAAN MASYARAKAT DESA",MASTER!G7:G1016,"TENDER CEPAT",MASTER!N7:N1016,"KONTRAK")</f>
        <v>1</v>
      </c>
      <c r="L12" s="38">
        <f>SUMIFS(MASTER!L7:L1016,MASTER!B7:B1016,"DINAS PEMBERDAYAAN MASYARAKAT DESA",MASTER!G7:G1016,"TENDER CEPAT", MASTER!N7:N1016,"KONTRAK")</f>
        <v>524878750</v>
      </c>
      <c r="M12" s="35">
        <f>COUNTIFS(MASTER!B7:B1016,"DINAS PEMBERDAYAAN MASYARAKAT DESA",MASTER!G7:G1016,"SELEKSI",MASTER!N7:N1016,"KONTRAK")</f>
        <v>0</v>
      </c>
      <c r="N12" s="38">
        <f>SUMIFS(MASTER!L7:L1016,MASTER!B7:B1016,"DINAS PEMBERDAYAAN MASYARAKAT DESA",MASTER!G7:G1016,"SELEKSI", MASTER!N7:N1016,"KONTRAK")</f>
        <v>0</v>
      </c>
      <c r="O12" s="90">
        <f t="shared" si="0"/>
        <v>3</v>
      </c>
      <c r="P12" s="48">
        <f t="shared" si="1"/>
        <v>1483170000</v>
      </c>
      <c r="Q12" s="40">
        <f t="shared" si="2"/>
        <v>1</v>
      </c>
      <c r="R12" s="38">
        <f t="shared" si="3"/>
        <v>524878750</v>
      </c>
      <c r="S12" s="91">
        <f t="shared" si="4"/>
        <v>2</v>
      </c>
      <c r="T12" s="38">
        <f t="shared" si="5"/>
        <v>958291250</v>
      </c>
    </row>
    <row r="13" spans="1:20" ht="13.5" x14ac:dyDescent="0.25">
      <c r="A13" s="71">
        <v>5</v>
      </c>
      <c r="B13" s="37" t="s">
        <v>24</v>
      </c>
      <c r="C13" s="35">
        <f>COUNTIFS(MASTER!B7:B1016,"DINAS KEBUDAYAAN DAN PARIWISATA",MASTER!G7:G1016,"TENDER")</f>
        <v>4</v>
      </c>
      <c r="D13" s="40">
        <f>SUMIFS(MASTER!F7:F1016,MASTER!B7:B1016,"DINAS KEBUDAYAAN DAN PARIWISATA",MASTER!G7:G1016,"TENDER")</f>
        <v>3693273000</v>
      </c>
      <c r="E13" s="35">
        <f>COUNTIFS(MASTER!B7:B1016,"DINAS KEBUDAYAAN DAN PARIWISATA",MASTER!G7:G1016,"TENDER CEPAT")</f>
        <v>0</v>
      </c>
      <c r="F13" s="40">
        <f>SUMIFS(MASTER!F7:F1016,MASTER!B7:B1016,"DINAS KEBUDAYAAN DAN PARIWISATA",MASTER!G7:G1016,"TENDER CEPAT")</f>
        <v>0</v>
      </c>
      <c r="G13" s="35">
        <f>COUNTIFS(MASTER!B7:B1016,"DINAS KEBUDAYAAN DAN PARIWISATA",MASTER!G7:G1016,"SELEKSI")</f>
        <v>0</v>
      </c>
      <c r="H13" s="40">
        <f>SUMIFS(MASTER!F7:F1016,MASTER!B7:B1016,"DINAS KEBUDAYAAN DAN PARIWISATA",MASTER!G7:G1016,"SELEKSI")</f>
        <v>0</v>
      </c>
      <c r="I13" s="35">
        <f>COUNTIFS(MASTER!B7:B1016,"DINAS KEBUDAYAAN DAN PARIWISATA",MASTER!G7:G1016,"TENDER",MASTER!N7:N1016,"KONTRAK")</f>
        <v>0</v>
      </c>
      <c r="J13" s="39">
        <f>SUMIFS(MASTER!L7:L1016,MASTER!B7:B1016,"DINAS KEBUDAYAAN DAN PARIWISATA",MASTER!G7:G1016,"TENDER", MASTER!N7:N1016,"KONTRAK")</f>
        <v>0</v>
      </c>
      <c r="K13" s="35">
        <f>COUNTIFS(MASTER!B7:B1016,"DINAS KEBUDAYAAN DAN PARIWISATA",MASTER!G7:G1016,"TENDER",MASTER!N7:N1016,"KONTRAK")</f>
        <v>0</v>
      </c>
      <c r="L13" s="38">
        <f>SUMIFS(MASTER!L7:L1016,MASTER!B7:B1016,"DINAS KEBUDAYAAN DAN PARIWISATA",MASTER!G7:G1016,"TENDER CEPAT", MASTER!N7:N1016,"KONTRAK")</f>
        <v>0</v>
      </c>
      <c r="M13" s="35">
        <f>COUNTIFS(MASTER!B7:B1016,"DINAS KEBUDAYAAN DAN PARIWISATA",MASTER!G7:G1016,"SELEKSI",MASTER!N7:N1016,"KONTRAK")</f>
        <v>0</v>
      </c>
      <c r="N13" s="38">
        <f>SUMIFS(MASTER!L7:L1016,MASTER!B7:B1016,"DINAS KEBUDAYAAN DAN PARIWISATA",MASTER!G7:G1016,"SELEKSI", MASTER!N7:N1016,"KONTRAK")</f>
        <v>0</v>
      </c>
      <c r="O13" s="90">
        <f t="shared" si="0"/>
        <v>4</v>
      </c>
      <c r="P13" s="48">
        <f t="shared" si="1"/>
        <v>3693273000</v>
      </c>
      <c r="Q13" s="40">
        <f t="shared" si="2"/>
        <v>0</v>
      </c>
      <c r="R13" s="38">
        <f t="shared" si="3"/>
        <v>0</v>
      </c>
      <c r="S13" s="91">
        <f t="shared" si="4"/>
        <v>4</v>
      </c>
      <c r="T13" s="38">
        <f t="shared" si="5"/>
        <v>3693273000</v>
      </c>
    </row>
    <row r="14" spans="1:20" ht="21" customHeight="1" x14ac:dyDescent="0.25">
      <c r="A14" s="71">
        <v>6</v>
      </c>
      <c r="B14" s="37" t="s">
        <v>170</v>
      </c>
      <c r="C14" s="35">
        <f>COUNTIFS(MASTER!B7:B1016,"DINAS KESEHATAN",MASTER!G7:G1016,"TENDER")</f>
        <v>2</v>
      </c>
      <c r="D14" s="40">
        <f>SUMIFS(MASTER!F7:F1016,MASTER!B7:B1016,"DINAS KESEHATAN",MASTER!G7:G1016,"TENDER")</f>
        <v>2794900000</v>
      </c>
      <c r="E14" s="35">
        <f>COUNTIFS(MASTER!B7:B1016,"DINAS KESEHATAN",MASTER!G7:G1016,"TENDER CEPAT")</f>
        <v>0</v>
      </c>
      <c r="F14" s="40">
        <f>SUMIFS(MASTER!F7:F1016,MASTER!B7:B1016,"DINAS KESEHATAN",MASTER!G7:G1016,"TENDER CEPAT")</f>
        <v>0</v>
      </c>
      <c r="G14" s="35">
        <f>COUNTIFS(MASTER!B7:B1016,"DDINAS KESEHATAN",MASTER!G7:G1016,"SELEKSI")</f>
        <v>0</v>
      </c>
      <c r="H14" s="40">
        <f>SUMIFS(MASTER!F7:F1016,MASTER!B7:B1016,"DINAS KESEHATAN",MASTER!G7:G1016,"SELEKSI")</f>
        <v>0</v>
      </c>
      <c r="I14" s="35">
        <f>COUNTIFS(MASTER!B7:B1016,"DINAS KESEHATAN",MASTER!G7:G1016,"TENDER",MASTER!N7:N1016,"KONTRAK")</f>
        <v>0</v>
      </c>
      <c r="J14" s="39">
        <f>SUMIFS(MASTER!L7:L1016,MASTER!B7:B1016,"DINAS KESEHATAN",MASTER!G7:G1016,"TENDER", MASTER!N7:N1016,"KONTRAK")</f>
        <v>0</v>
      </c>
      <c r="K14" s="35">
        <f>COUNTIFS(MASTER!B7:B1016,"DINAS KESEHATAN",MASTER!G7:G1016,"TENDER CEPAT",MASTER!N7:N1016,"KONTRAK")</f>
        <v>0</v>
      </c>
      <c r="L14" s="38">
        <f>SUMIFS(MASTER!L7:L1016,MASTER!B7:B1016,"DINAS KESEHATAN",MASTER!G7:G1016,"TENDER CEPAT", MASTER!N7:N1016,"KONTRAK")</f>
        <v>0</v>
      </c>
      <c r="M14" s="35">
        <f>COUNTIFS(MASTER!B7:B1016,"DINAS KESEHATAN",MASTER!G7:G1016,"SELEKSI",MASTER!N7:N1016,"SKONTRAK")</f>
        <v>0</v>
      </c>
      <c r="N14" s="38">
        <f>SUMIFS(MASTER!L7:L1016,MASTER!B7:B1016,"DINAS KESEHATAN",MASTER!G7:G1016,"SELEKSI", MASTER!N7:N1016,"KONTRAK")</f>
        <v>0</v>
      </c>
      <c r="O14" s="90">
        <f t="shared" si="0"/>
        <v>2</v>
      </c>
      <c r="P14" s="48">
        <f t="shared" si="1"/>
        <v>2794900000</v>
      </c>
      <c r="Q14" s="40">
        <f t="shared" si="2"/>
        <v>0</v>
      </c>
      <c r="R14" s="38">
        <f t="shared" si="3"/>
        <v>0</v>
      </c>
      <c r="S14" s="91">
        <f t="shared" si="4"/>
        <v>2</v>
      </c>
      <c r="T14" s="38">
        <f t="shared" si="5"/>
        <v>2794900000</v>
      </c>
    </row>
    <row r="15" spans="1:20" ht="13.5" x14ac:dyDescent="0.25">
      <c r="A15" s="71">
        <v>7</v>
      </c>
      <c r="B15" s="37" t="s">
        <v>112</v>
      </c>
      <c r="C15" s="35">
        <f>COUNTIFS(MASTER!B7:B1016,"DINAS PEKERJAAN UMUM DAN PENATAAN RUANG",MASTER!G7:G1016,"TENDER")</f>
        <v>106</v>
      </c>
      <c r="D15" s="40">
        <f>SUMIFS(MASTER!F7:F1016,MASTER!B7:B1016,"DINAS PEKERJAAN UMUM DAN PENATAAN RUANG",MASTER!G7:G1016,"TENDER")</f>
        <v>126688284000</v>
      </c>
      <c r="E15" s="35">
        <f>COUNTIFS(MASTER!B7:B1016,"DINAS PEKERJAAN UMUM DAN PENATAAN RUANG",MASTER!G7:G1016,"TENDER CEPAT")</f>
        <v>0</v>
      </c>
      <c r="F15" s="40">
        <f>SUMIFS(MASTER!F7:F1016,MASTER!B7:B1016,"DINAS PEKERJAAN UMUM DAN PENATAAN RUANG",MASTER!G7:G1016,"TENDER CEPAT")</f>
        <v>0</v>
      </c>
      <c r="G15" s="35">
        <f>COUNTIFS(MASTER!B7:B1016,"DINAS PEKERJAAN UMUM DAN PENATAAN RUANG",MASTER!G7:G1016,"SELEKSI")</f>
        <v>6</v>
      </c>
      <c r="H15" s="40">
        <f>SUMIFS(MASTER!F7:F1016,MASTER!B7:B1016,"DINAS PEKERJAAN UMUM DAN PENATAAN RUANG",MASTER!G7:G1016,"SELEKSI")</f>
        <v>1160000000</v>
      </c>
      <c r="I15" s="35">
        <f>COUNTIFS(MASTER!B7:B1016,"DINAS PEKERJAAN UMUM DAN PENATAAN RUANG",MASTER!G7:G1016,"TENDER",MASTER!N7:N1016,"KONTRAK")</f>
        <v>0</v>
      </c>
      <c r="J15" s="39">
        <f>SUMIFS(MASTER!L7:L1016,MASTER!B7:B1016,"DINAS PEKERJAAN UMUM DAN PENATAAN RUANG",MASTER!G7:G1016,"TENDER", MASTER!N7:N1016,"KONTRAK")</f>
        <v>0</v>
      </c>
      <c r="K15" s="35">
        <f>COUNTIFS(MASTER!B7:B1016,"DINAS PEKERJAAN UMUM DAN PENATAAN RUANG",MASTER!G7:G1016,"TENDER CEPAT",MASTER!N7:N1016,"KONTRAK")</f>
        <v>0</v>
      </c>
      <c r="L15" s="38">
        <f>SUMIFS(MASTER!L7:L1016,MASTER!B7:B1016,"DINAS PEKERJAAN UMUM DAN PENATAAN RUANG",MASTER!G7:G1016,"TENDER CEPAT", MASTER!N7:N1016,"KONTRAK")</f>
        <v>0</v>
      </c>
      <c r="M15" s="35">
        <f>COUNTIFS(MASTER!B7:B1016,"DINAS PEKERJAAN UMUM DAN PENATAAN RUANG",MASTER!G7:G1016,"SELEKSI",MASTER!N7:N1016,"KONTRAK")</f>
        <v>0</v>
      </c>
      <c r="N15" s="38">
        <f>SUMIFS(MASTER!L7:L1016,MASTER!B7:B1016,"DINAS PEKERJAAN UMUM DAN PENATAAN RUANG",MASTER!G7:G1016,"SELEKSI", MASTER!N7:N1016,"KONTRAK")</f>
        <v>0</v>
      </c>
      <c r="O15" s="90">
        <f t="shared" si="0"/>
        <v>112</v>
      </c>
      <c r="P15" s="48">
        <f t="shared" si="1"/>
        <v>127848284000</v>
      </c>
      <c r="Q15" s="40">
        <f t="shared" si="2"/>
        <v>0</v>
      </c>
      <c r="R15" s="38">
        <f t="shared" si="3"/>
        <v>0</v>
      </c>
      <c r="S15" s="91">
        <f t="shared" si="4"/>
        <v>112</v>
      </c>
      <c r="T15" s="38">
        <f t="shared" si="5"/>
        <v>127848284000</v>
      </c>
    </row>
    <row r="16" spans="1:20" ht="13.5" x14ac:dyDescent="0.25">
      <c r="A16" s="71">
        <v>8</v>
      </c>
      <c r="B16" s="37" t="s">
        <v>123</v>
      </c>
      <c r="C16" s="35">
        <f>COUNTIFS(MASTER!B7:B1016,"DINAS PENDIDIKAN KEPEMUDAAN DAN OLAHRAGA",MASTER!G7:G1016,"TENDER")</f>
        <v>10</v>
      </c>
      <c r="D16" s="40">
        <f>SUMIFS(MASTER!F7:F1016,MASTER!B7:B1016,"DINAS PENDIDIKAN KEPEMUDAAN DAN OLAHRAGA",MASTER!G7:G1016,"TENDER")</f>
        <v>13330000000</v>
      </c>
      <c r="E16" s="35">
        <f>COUNTIFS(MASTER!B7:B1016,"DINAS PENDIDIKAN KEPEMUDAAN DAN OLAHRAGA",MASTER!G7:G1016,"TENDER CEPAT")</f>
        <v>0</v>
      </c>
      <c r="F16" s="40">
        <f>SUMIFS(MASTER!F7:F1016,MASTER!B7:B1016,"DINAS PENDIDIKAN KEPEMUDAAN DAN OLAHRAGA",MASTER!G7:G1016,"TENDER CEPAT")</f>
        <v>0</v>
      </c>
      <c r="G16" s="35">
        <f>COUNTIFS(MASTER!B7:B1016,"DINAS PENDIDIKAN KEPEMUDAAN DAN OLAHRAGA",MASTER!G7:G1016,"SELEKSI")</f>
        <v>0</v>
      </c>
      <c r="H16" s="40">
        <f>SUMIFS(MASTER!F7:F1016,MASTER!B7:B1016,"DINAS PENDIDIKAN KEPEMUDAAN DAN OLAHRAGA",MASTER!G7:G1016,"SELEKSI")</f>
        <v>0</v>
      </c>
      <c r="I16" s="35">
        <f>COUNTIFS(MASTER!B7:B1016,"DINAS PENDIDIKAN KEPEMUDAAN DAN OLAHRAGA",MASTER!G7:G1016,"TENDER",MASTER!N7:N1016,"KONTRAK")</f>
        <v>0</v>
      </c>
      <c r="J16" s="39">
        <f>SUMIFS(MASTER!L7:L1016,MASTER!B7:B1016,"DINAS PENDIDIKAN KEPEMUDAAN DAN OLAHRAGA",MASTER!G7:G1016,"TENDER", MASTER!N7:N1016,"KONTRAK")</f>
        <v>0</v>
      </c>
      <c r="K16" s="35">
        <f>COUNTIFS(MASTER!B7:B1016,"DINAS PENDIDIKAN KEPEMUDAAN DAN OLAHRAGA",MASTER!G7:G1016,"TENDER CEPAT",MASTER!N7:N1016,"KONTRAK")</f>
        <v>0</v>
      </c>
      <c r="L16" s="38">
        <f>SUMIFS(MASTER!L7:L1016,MASTER!B7:B1016,"DINAS PENDIDIKAN KEPEMUDAAN DAN OLAHRAGA",MASTER!G7:G1016,"TENDER CEPAT", MASTER!N7:N1016,"KONTRAK")</f>
        <v>0</v>
      </c>
      <c r="M16" s="35">
        <f>COUNTIFS(MASTER!B7:B1016,"DINAS PENDIDIKAN KEPEMUDAAN DAN OLAHRAGA",MASTER!G7:G1016,"SELEKSI",MASTER!N7:N1016,"KONTRAK")</f>
        <v>0</v>
      </c>
      <c r="N16" s="38">
        <f>SUMIFS(MASTER!L7:L1016,MASTER!B7:B1016,"DINAS PENDIDIKAN KEPEMUDAAN DAN OLAHRAGA",MASTER!G7:G1016,"SELEKSI", MASTER!N7:N1016,"KONTRAK")</f>
        <v>0</v>
      </c>
      <c r="O16" s="90">
        <f t="shared" si="0"/>
        <v>10</v>
      </c>
      <c r="P16" s="48">
        <f t="shared" si="1"/>
        <v>13330000000</v>
      </c>
      <c r="Q16" s="40">
        <f t="shared" si="2"/>
        <v>0</v>
      </c>
      <c r="R16" s="38">
        <f t="shared" si="3"/>
        <v>0</v>
      </c>
      <c r="S16" s="91">
        <f t="shared" si="4"/>
        <v>10</v>
      </c>
      <c r="T16" s="38">
        <f t="shared" si="5"/>
        <v>13330000000</v>
      </c>
    </row>
    <row r="17" spans="1:20" ht="20.25" customHeight="1" x14ac:dyDescent="0.25">
      <c r="A17" s="71">
        <v>9</v>
      </c>
      <c r="B17" s="37" t="s">
        <v>129</v>
      </c>
      <c r="C17" s="35">
        <f>COUNTIFS(MASTER!B7:B1016,"DINAS PERDAGANGAN",MASTER!G7:G1016,"TENDER")</f>
        <v>5</v>
      </c>
      <c r="D17" s="40">
        <f>SUMIFS(MASTER!F7:F1016,MASTER!B7:B1016,"DINAS PERDAGANGAN",MASTER!G7:G1016,"TENDER")</f>
        <v>2834500000</v>
      </c>
      <c r="E17" s="35">
        <f>COUNTIFS(MASTER!B7:B1016,"DINAS PERDAGANGAN",MASTER!G7:G1016,"TENDER CEPAT")</f>
        <v>0</v>
      </c>
      <c r="F17" s="40">
        <f>SUMIFS(MASTER!F7:F1016,MASTER!B7:B1016,"DINAS PERDAGANGAN",MASTER!G7:G1016,"TENDER CEPAT")</f>
        <v>0</v>
      </c>
      <c r="G17" s="35">
        <f>COUNTIFS(MASTER!B7:B1016,"DINAS PERDAGANGAN",MASTER!G7:G1016,"SELEKSI")</f>
        <v>0</v>
      </c>
      <c r="H17" s="40">
        <f>SUMIFS(MASTER!F7:F1016,MASTER!B7:B1016,"DINAS PERDAGANGAN",MASTER!G7:G1016,"SELEKSI")</f>
        <v>0</v>
      </c>
      <c r="I17" s="35">
        <f>COUNTIFS(MASTER!B7:B1016,"DINAS PERDAGANGAN",MASTER!G7:G1016,"TENDER",MASTER!N7:N1016,"KONTRAK")</f>
        <v>0</v>
      </c>
      <c r="J17" s="39">
        <f>SUMIFS(MASTER!L7:L1016,MASTER!B7:B1016,"DINAS PERDAGANGAN",MASTER!G7:G1016,"TENDER", MASTER!N7:N1016,"KONTRAK")</f>
        <v>0</v>
      </c>
      <c r="K17" s="35">
        <f>COUNTIFS(MASTER!B7:B1016,"DINAS PERDAGANGAN",MASTER!G7:G1016,"TENDE CEPAT",MASTER!N7:N1016,"KONTRAK")</f>
        <v>0</v>
      </c>
      <c r="L17" s="38">
        <f>SUMIFS(MASTER!L7:L1016,MASTER!B7:B1016,"DINAS PERDAGANGAN",MASTER!G7:G1016,"TENDER CEPAT", MASTER!N7:N1016,"KONTRAK")</f>
        <v>0</v>
      </c>
      <c r="M17" s="35">
        <f>COUNTIFS(MASTER!B7:B1016,"DINAS PERDAGANGAN",MASTER!G7:G1016,"SELEKSI",MASTER!N7:N1016,"SKONTRAK")</f>
        <v>0</v>
      </c>
      <c r="N17" s="38">
        <f>SUMIFS(MASTER!L7:L1016,MASTER!B7:B1016,"DINAS PERDAGANGAN",MASTER!G7:G1016,"SELEKSI", MASTER!N7:N1016,"KONTRAK")</f>
        <v>0</v>
      </c>
      <c r="O17" s="90">
        <f t="shared" si="0"/>
        <v>5</v>
      </c>
      <c r="P17" s="48">
        <f t="shared" si="1"/>
        <v>2834500000</v>
      </c>
      <c r="Q17" s="40">
        <f t="shared" si="2"/>
        <v>0</v>
      </c>
      <c r="R17" s="38">
        <f t="shared" si="3"/>
        <v>0</v>
      </c>
      <c r="S17" s="91">
        <f t="shared" si="4"/>
        <v>5</v>
      </c>
      <c r="T17" s="38">
        <f t="shared" si="5"/>
        <v>2834500000</v>
      </c>
    </row>
    <row r="18" spans="1:20" ht="20.25" customHeight="1" x14ac:dyDescent="0.25">
      <c r="A18" s="71">
        <v>10</v>
      </c>
      <c r="B18" s="37" t="s">
        <v>132</v>
      </c>
      <c r="C18" s="35">
        <f>COUNTIFS(MASTER!B7:B1016,"DINAS PERHUBUNGAN",MASTER!G7:G1016,"TENDER")</f>
        <v>2</v>
      </c>
      <c r="D18" s="40">
        <f>SUMIFS(MASTER!F7:F1016,MASTER!B7:B1016,"DINAS PERHUBUNGAN",MASTER!G7:G1016,"TENDER")</f>
        <v>1628920000</v>
      </c>
      <c r="E18" s="35">
        <f>COUNTIFS(MASTER!B7:B1016,"DINAS PERHUBUNGAN",MASTER!G7:G1016,"TENDER CEPAT")</f>
        <v>0</v>
      </c>
      <c r="F18" s="40">
        <f>SUMIFS(MASTER!F7:F1016,MASTER!B7:B1016,"DINAS PERHUBUNGAN",MASTER!G7:G1016,"TENDER CEPAT")</f>
        <v>0</v>
      </c>
      <c r="G18" s="35">
        <f>COUNTIFS(MASTER!B7:B1016,"DINAS PERHUBUNGAN",MASTER!G7:G1016,"SELEKSI")</f>
        <v>0</v>
      </c>
      <c r="H18" s="40">
        <f>SUMIFS(MASTER!F7:F1016,MASTER!B7:B1016,"DINAS PERHUBUNGAN",MASTER!G7:G1016,"SELEKSI")</f>
        <v>0</v>
      </c>
      <c r="I18" s="35">
        <f>COUNTIFS(MASTER!B7:B1016,"DINAS PERHUBUNGAN",MASTER!G7:G1016,"TENDER",MASTER!N7:N1016,"KONTRAK")</f>
        <v>0</v>
      </c>
      <c r="J18" s="39">
        <f>SUMIFS(MASTER!L7:L1016,MASTER!B7:B1016,"DINAS PERHUBUNGAN",MASTER!G7:G1016,"TENDER", MASTER!N7:N1016,"KONTRAK")</f>
        <v>0</v>
      </c>
      <c r="K18" s="35">
        <f>COUNTIFS(MASTER!B7:B1016,"DINAS PERHUBUNGAN",MASTER!G7:G1016,"TENDER CEPAT",MASTER!N7:N1016,"KONTRAK")</f>
        <v>0</v>
      </c>
      <c r="L18" s="38">
        <f>SUMIFS(MASTER!L7:L1016,MASTER!B7:B1016,"DINAS PERHUBUNGAN",MASTER!G7:G1016,"TENDER CEPAT", MASTER!N7:N1016,"KONTRAK")</f>
        <v>0</v>
      </c>
      <c r="M18" s="35">
        <f>COUNTIFS(MASTER!B7:B1016,"DINAS PERHUBUNGAN",MASTER!G7:G1016,"SELEKSI",MASTER!N7:N1016,"KONTRAK")</f>
        <v>0</v>
      </c>
      <c r="N18" s="38">
        <f>SUMIFS(MASTER!L7:L1016,MASTER!B7:B1016,"DINAS PERHUBUNGAN",MASTER!G7:G1016,"SELEKSI", MASTER!N7:N1016,"KONTRAK")</f>
        <v>0</v>
      </c>
      <c r="O18" s="90">
        <f t="shared" si="0"/>
        <v>2</v>
      </c>
      <c r="P18" s="48">
        <f t="shared" si="1"/>
        <v>1628920000</v>
      </c>
      <c r="Q18" s="40">
        <f t="shared" si="2"/>
        <v>0</v>
      </c>
      <c r="R18" s="38">
        <f t="shared" si="3"/>
        <v>0</v>
      </c>
      <c r="S18" s="91">
        <f t="shared" si="4"/>
        <v>2</v>
      </c>
      <c r="T18" s="38">
        <f t="shared" si="5"/>
        <v>1628920000</v>
      </c>
    </row>
    <row r="19" spans="1:20" ht="13.5" x14ac:dyDescent="0.25">
      <c r="A19" s="71">
        <v>11</v>
      </c>
      <c r="B19" s="37" t="s">
        <v>136</v>
      </c>
      <c r="C19" s="35">
        <f>COUNTIFS(MASTER!B7:B1016,"DINAS PERTANIAN DAN PANGAN",MASTER!G7:G1016,"TENDER")</f>
        <v>3</v>
      </c>
      <c r="D19" s="40">
        <f>SUMIFS(MASTER!F7:F1016,MASTER!B7:B1016,"DINAS PERTANIAN DAN PANGAN",MASTER!G7:G1016,"TENDER")</f>
        <v>1411200000</v>
      </c>
      <c r="E19" s="35">
        <f>COUNTIFS(MASTER!B7:B1016,"DINAS PERTANIAN DAN PANGAN",MASTER!G7:G1016,"TENDER CEPAT")</f>
        <v>0</v>
      </c>
      <c r="F19" s="40">
        <f>SUMIFS(MASTER!F7:F1016,MASTER!B7:B1016,"DINAS PERTANIAN DAN PANGAN",MASTER!G7:G1016,"TENDER CEPAT")</f>
        <v>0</v>
      </c>
      <c r="G19" s="35">
        <f>COUNTIFS(MASTER!B7:B1016,"DINAS PERTANIAN DAN PANGAN",MASTER!G7:G1016,"SELEKSI")</f>
        <v>0</v>
      </c>
      <c r="H19" s="40">
        <f>SUMIFS(MASTER!F7:F1016,MASTER!B7:B1016,"DINAS PERTANIAN DAN PANGAN",MASTER!G7:G1016,"SELEKSI")</f>
        <v>0</v>
      </c>
      <c r="I19" s="35">
        <f>COUNTIFS(MASTER!B8:B1017,"DINAS PERTANIAN DAN PANGAN",MASTER!G8:G1017,"TENDER",MASTER!N8:N1017,"KONTRAK")</f>
        <v>0</v>
      </c>
      <c r="J19" s="39">
        <f>SUMIFS(MASTER!L7:L1016,MASTER!B7:B1016,"DINAS PERTANIAN DAN PANGAN",MASTER!G7:G1016,"TENDER", MASTER!N7:N1016,"KONTRAK")</f>
        <v>0</v>
      </c>
      <c r="K19" s="35">
        <f>COUNTIFS(MASTER!B8:B1017,"DINAS PERTANIAN DAN PANGAN",MASTER!G8:G1017,"TENDER CEPAT",MASTER!N8:N1017,"KONTRAK")</f>
        <v>0</v>
      </c>
      <c r="L19" s="38">
        <f>SUMIFS(MASTER!L7:L1016,MASTER!B7:B1016,"DINAS PERTANIAN DAN PANGAN",MASTER!G7:G1016,"TENDER CEPAT", MASTER!N7:N1016,"KONTRAK")</f>
        <v>0</v>
      </c>
      <c r="M19" s="35">
        <f>COUNTIFS(MASTER!B8:B1017,"DINAS PERTANIAN DAN PANGAN",MASTER!G8:G1017,"SELEKSI",MASTER!N8:N1017,"KONTRAK")</f>
        <v>0</v>
      </c>
      <c r="N19" s="38">
        <f>SUMIFS(MASTER!L7:L1016,MASTER!B7:B1016,"DINAS PERTANIAN DAN PANGAN",MASTER!G7:G1016,"SELEKSI", MASTER!N7:N1016,"KONTRAK")</f>
        <v>0</v>
      </c>
      <c r="O19" s="90">
        <f t="shared" si="0"/>
        <v>3</v>
      </c>
      <c r="P19" s="48">
        <f t="shared" si="1"/>
        <v>1411200000</v>
      </c>
      <c r="Q19" s="40">
        <f t="shared" si="2"/>
        <v>0</v>
      </c>
      <c r="R19" s="38">
        <f t="shared" si="3"/>
        <v>0</v>
      </c>
      <c r="S19" s="91">
        <f t="shared" si="4"/>
        <v>3</v>
      </c>
      <c r="T19" s="38">
        <f t="shared" si="5"/>
        <v>1411200000</v>
      </c>
    </row>
    <row r="20" spans="1:20" ht="27" x14ac:dyDescent="0.25">
      <c r="A20" s="71">
        <v>12</v>
      </c>
      <c r="B20" s="37" t="s">
        <v>145</v>
      </c>
      <c r="C20" s="35">
        <f>COUNTIFS(MASTER!B7:B1016,"DINAS PERUMAHAN KAWASAN PERMUKIMAN DAN LINGKUNGAN HIDUP",MASTER!G7:G1016,"TENDER")</f>
        <v>5</v>
      </c>
      <c r="D20" s="40">
        <f>SUMIFS(MASTER!F7:F1016,MASTER!B7:B1016,"DINAS PERUMAHAN KAWASAN PERMUKIMAN DAN LINGKUNGAN HIDUP",MASTER!G7:G1016,"TENDER")</f>
        <v>3184200000</v>
      </c>
      <c r="E20" s="35">
        <f>COUNTIFS(MASTER!B7:B1016,"DINAS PERUMAHAN KAWASAN PERMUKIMAN DAN LINGKUNGAN HIDUP",MASTER!G7:G1016,"TENDER CEPAT")</f>
        <v>3</v>
      </c>
      <c r="F20" s="40">
        <f>SUMIFS(MASTER!F7:F1016,MASTER!B7:B1016,"DINAS PERUMAHAN KAWASAN PERMUKIMAN DAN LINGKUNGAN HIDUP",MASTER!G7:G1016,"TENDER CEPAT")</f>
        <v>850100000</v>
      </c>
      <c r="G20" s="35">
        <f>COUNTIFS(MASTER!B7:B1016,"DINAS PERUMAHAN KAWASAN PERMUKIMAN DAN LINGKUNGAN HIDUP",MASTER!G7:G1016,"SELEKSI")</f>
        <v>0</v>
      </c>
      <c r="H20" s="40">
        <f>SUMIFS(MASTER!F7:F1016,MASTER!B7:B1016,"DINAS PERUMAHAN KAWASAN PERMUKIMAN DAN LINGKUNGAN HIDUP",MASTER!G7:G1016,"SELEKSI")</f>
        <v>0</v>
      </c>
      <c r="I20" s="35">
        <f>COUNTIFS(MASTER!B8:B1017,"DINAS PERUMAHAN KAWASAN PERMUKIMAN DAN LINGKUNGAN HIDUP",MASTER!G8:G1017,"TENDER",MASTER!N8:N1017,"KONTRAK")</f>
        <v>0</v>
      </c>
      <c r="J20" s="39">
        <f>SUMIFS(MASTER!L7:L1016,MASTER!B7:B1016,"DINAS PERUMAHAN KAWASAN PERMUKIMAN DAN LINGKUNGAN HIDUP",MASTER!G7:G1016,"TENDER", MASTER!N7:N1016,"KONTRAK")</f>
        <v>0</v>
      </c>
      <c r="K20" s="35">
        <f>COUNTIFS(MASTER!B8:B1017,"DINAS PERUMAHAN KAWASAN PERMUKIMAN DAN LINGKUNGAN HIDUP",MASTER!G8:G1017,"TENDER CEPAT",MASTER!N8:N1017,"KONTRAK")</f>
        <v>3</v>
      </c>
      <c r="L20" s="38">
        <f>SUMIFS(MASTER!L7:L1016,MASTER!B7:B1016,"DINAS PERUMAHAN KAWASAN PERMUKIMAN DAN LINGKUNGAN HIDUP",MASTER!G7:G1016,"TENDER CEPAT", MASTER!N7:N1016,"KONTRAK")</f>
        <v>818119239.03999996</v>
      </c>
      <c r="M20" s="35">
        <f>COUNTIFS(MASTER!B8:B1017,"DINAS PERUMAHAN KAWASAN PERMUKIMAN DAN LINGKUNGAN HIDUP",MASTER!G8:G1017,"SELEKSSI",MASTER!N8:N1017,"KONTRAK")</f>
        <v>0</v>
      </c>
      <c r="N20" s="38">
        <f>SUMIFS(MASTER!L7:L1016,MASTER!B7:B1016,"DINAS PERUMAHAN KAWASAN PERMUKIMAN DAN LINGKUNGAN HIDUP",MASTER!G7:G1016,"SELEKSI", MASTER!N7:N1016,"KONTRAK")</f>
        <v>0</v>
      </c>
      <c r="O20" s="90">
        <f t="shared" si="0"/>
        <v>8</v>
      </c>
      <c r="P20" s="48">
        <f t="shared" si="1"/>
        <v>4034300000</v>
      </c>
      <c r="Q20" s="40">
        <f t="shared" si="2"/>
        <v>3</v>
      </c>
      <c r="R20" s="38">
        <f t="shared" si="3"/>
        <v>818119239.03999996</v>
      </c>
      <c r="S20" s="91">
        <f t="shared" si="4"/>
        <v>5</v>
      </c>
      <c r="T20" s="38">
        <f t="shared" si="5"/>
        <v>3216180760.96</v>
      </c>
    </row>
    <row r="21" spans="1:20" ht="27" x14ac:dyDescent="0.25">
      <c r="A21" s="71">
        <v>13</v>
      </c>
      <c r="B21" s="37" t="s">
        <v>203</v>
      </c>
      <c r="C21" s="35">
        <f>COUNTIFS(MASTER!B7:B1016,"DINAS TENAGA KERJA PERINDUSTRIAN KOPERASI USAHA KECIL MENENGAH",MASTER!G7:G1016,"TENDER")</f>
        <v>2</v>
      </c>
      <c r="D21" s="40">
        <f>SUMIFS(MASTER!F7:F1016,MASTER!B7:B1016,"DINAS TENAGA KERJA PERINDUSTRIAN KOPERASI USAHA KECIL MENENGAH",MASTER!G7:G1016,"TENDER")</f>
        <v>1782710000</v>
      </c>
      <c r="E21" s="35">
        <f>COUNTIFS(MASTER!B7:B1016,"DINAS TENAGA KERJA PERINDUSTRIAN KOPERASI USAHA KECIL MENENGAH",MASTER!G7:G1016,"TENDER CEPAT")</f>
        <v>0</v>
      </c>
      <c r="F21" s="40">
        <f>SUMIFS(MASTER!F7:F1016,MASTER!B7:B1016,"DINAS TENAGA KERJA PERINDUSTRIAN KOPERASI USAHA KECIL MENENGAH",MASTER!G7:G1016,"TENDER CEPAT")</f>
        <v>0</v>
      </c>
      <c r="G21" s="35">
        <f>COUNTIFS(MASTER!B7:B1016,"DDINAS TENAGA KERJA PERINDUSTRIAN KOPERASI USAHA KECIL MENENGAH",MASTER!G7:G1016,"SELEKSI")</f>
        <v>0</v>
      </c>
      <c r="H21" s="40">
        <f>SUMIFS(MASTER!F7:F1016,MASTER!B7:B1016,"DINAS TENAGA KERJA PERINDUSTRIAN KOPERASI USAHA KECIL MENENGAH",MASTER!G7:G1016,"SELEKSI")</f>
        <v>0</v>
      </c>
      <c r="I21" s="35">
        <f>COUNTIFS(MASTER!B8:B1017,"DINAS TENAGA KERJA PERINDUSTRIAN KOPERASI USAHA KECIL MENENGAH",MASTER!G8:G1017,"TENDER",MASTER!N8:N1017,"KONTRAK")</f>
        <v>0</v>
      </c>
      <c r="J21" s="39">
        <f>SUMIFS(MASTER!L7:L1016,MASTER!B7:B1016,"DINAS TENAGA KERJA PERINDUSTRIAN KOPERASI USAHA KECIL MENENGAH",MASTER!G7:G1016,"TENDER", MASTER!N7:N1016,"KONTRAK")</f>
        <v>0</v>
      </c>
      <c r="K21" s="35">
        <f>COUNTIFS(MASTER!B8:B1017,"DINAS TENAGA KERJA PERINDUSTRIAN KOPERASI USAHA KECIL MENENGAH",MASTER!G8:G1017,"TENDER CEPAT",MASTER!N8:N1017,"KONTRAK")</f>
        <v>0</v>
      </c>
      <c r="L21" s="38">
        <f>SUMIFS(MASTER!L7:L1016,MASTER!B7:B1016,"DINAS TENAGA KERJA PERINDUSTRIAN KOPERASI USAHA KECIL MENENGAH",MASTER!G7:G1016,"TENDER CEPAT", MASTER!N7:N1016,"KONTRAK")</f>
        <v>0</v>
      </c>
      <c r="M21" s="35">
        <f>COUNTIFS(MASTER!B8:B1017,"DINAS TENAGA KERJA PERINDUSTRIAN KOPERASI USAHA KECIL MENENGAH",MASTER!G8:G1017,"SELEKSI",MASTER!N8:N1017,"KONTRAK")</f>
        <v>0</v>
      </c>
      <c r="N21" s="38">
        <f>SUMIFS(MASTER!L7:L1016,MASTER!B7:B1016,"DINAS TENAGA KERJA PERINDUSTRIAN KOPERASI USAHA KECIL MENENGAH",MASTER!G7:G1016,"SELEKSI", MASTER!N7:N1016,"KONTRAK")</f>
        <v>0</v>
      </c>
      <c r="O21" s="90">
        <f t="shared" si="0"/>
        <v>2</v>
      </c>
      <c r="P21" s="48">
        <f t="shared" si="1"/>
        <v>1782710000</v>
      </c>
      <c r="Q21" s="40">
        <f t="shared" si="2"/>
        <v>0</v>
      </c>
      <c r="R21" s="38">
        <f t="shared" si="3"/>
        <v>0</v>
      </c>
      <c r="S21" s="91">
        <f t="shared" si="4"/>
        <v>2</v>
      </c>
      <c r="T21" s="38">
        <f t="shared" si="5"/>
        <v>1782710000</v>
      </c>
    </row>
    <row r="22" spans="1:20" ht="19.5" customHeight="1" x14ac:dyDescent="0.25">
      <c r="A22" s="71">
        <v>14</v>
      </c>
      <c r="B22" s="37" t="s">
        <v>148</v>
      </c>
      <c r="C22" s="35">
        <f>COUNTIFS(MASTER!B7:B1016,"KELURAHAN KAJEKSAN",MASTER!G7:G1016,"TENDER")</f>
        <v>2</v>
      </c>
      <c r="D22" s="40">
        <f>SUMIFS(MASTER!F7:F1016,MASTER!B7:B1016,"KELURAHAN KAJEKSAN",MASTER!G7:G1016,"TENDER")</f>
        <v>541141000</v>
      </c>
      <c r="E22" s="35">
        <f>COUNTIFS(MASTER!B7:B1016,"KELURAHAN KAJEKSAN",MASTER!G7:G1016,"TENDER CEPAT")</f>
        <v>0</v>
      </c>
      <c r="F22" s="40">
        <f>SUMIFS(MASTER!F7:F1016,MASTER!B7:B1016,"KELURAHAN KAJEKSAN",MASTER!G7:G1016,"TENDER CEPAT")</f>
        <v>0</v>
      </c>
      <c r="G22" s="35">
        <f>COUNTIFS(MASTER!B7:B1016,"KELURAHAN KAJEKSAN",MASTER!G7:G1016,"SELEKSI")</f>
        <v>0</v>
      </c>
      <c r="H22" s="40">
        <f>SUMIFS(MASTER!F7:F1016,MASTER!B7:B1016,"KELURAHAN KAJEKSAN",MASTER!G7:G1016,"SELEKSI")</f>
        <v>0</v>
      </c>
      <c r="I22" s="35">
        <f>COUNTIFS(MASTER!B8:B1017,"KELURAHAN KAJEKSAN",MASTER!G8:G1017,"TENDER",MASTER!N8:N1017,"KONTRAK")</f>
        <v>0</v>
      </c>
      <c r="J22" s="39">
        <f>SUMIFS(MASTER!L7:L1016,MASTER!B7:B1016,"KELURAHAN KAJEKSAN",MASTER!G7:G1016,"TENDER", MASTER!N7:N1016,"KONTRAK")</f>
        <v>0</v>
      </c>
      <c r="K22" s="35">
        <f>COUNTIFS(MASTER!B8:B1017,"KELURAHAN KAJEKSAN",MASTER!G8:G1017,"TENDER CEPAT",MASTER!N8:N1017,"KONTRAK")</f>
        <v>0</v>
      </c>
      <c r="L22" s="38">
        <f>SUMIFS(MASTER!L7:L1016,MASTER!B7:B1016,"KELURAHAN KAJEKSAN",MASTER!G7:G1016,"TENDER CEPAT", MASTER!N7:N1016,"KONTRAK")</f>
        <v>0</v>
      </c>
      <c r="M22" s="35">
        <f>COUNTIFS(MASTER!B8:B1017,"KELURAHAN KAJEKSAN",MASTER!G8:G1017,"SELEKSI",MASTER!N8:N1017,"SKONTRAK")</f>
        <v>0</v>
      </c>
      <c r="N22" s="38">
        <f>SUMIFS(MASTER!L7:L1016,MASTER!B7:B1016,"KELURAHAN KAJEKSAN",MASTER!G7:G1016,"SELEKSI", MASTER!N7:N1016,"KONTRAK")</f>
        <v>0</v>
      </c>
      <c r="O22" s="90">
        <f t="shared" si="0"/>
        <v>2</v>
      </c>
      <c r="P22" s="48">
        <f t="shared" si="1"/>
        <v>541141000</v>
      </c>
      <c r="Q22" s="40">
        <f t="shared" si="2"/>
        <v>0</v>
      </c>
      <c r="R22" s="38">
        <f t="shared" si="3"/>
        <v>0</v>
      </c>
      <c r="S22" s="91">
        <f t="shared" si="4"/>
        <v>2</v>
      </c>
      <c r="T22" s="38">
        <f t="shared" si="5"/>
        <v>541141000</v>
      </c>
    </row>
    <row r="23" spans="1:20" ht="19.5" customHeight="1" x14ac:dyDescent="0.25">
      <c r="A23" s="71">
        <v>15</v>
      </c>
      <c r="B23" s="37" t="s">
        <v>150</v>
      </c>
      <c r="C23" s="35">
        <f>COUNTIFS(MASTER!B7:B1016,"KELURAHAN MLATI KIDUL",MASTER!G7:G1016,"TENDER")</f>
        <v>1</v>
      </c>
      <c r="D23" s="40">
        <f>SUMIFS(MASTER!F7:F1016,MASTER!B7:B1016,"KELURAHAN MLATI KIDUL",MASTER!G7:G1016,"TENDER")</f>
        <v>372930000</v>
      </c>
      <c r="E23" s="35">
        <f>COUNTIFS(MASTER!B7:B1016,"KELURAHAN MLATI KIDUL",MASTER!G7:G1016,"TENDER CEPAT")</f>
        <v>0</v>
      </c>
      <c r="F23" s="40">
        <f>SUMIFS(MASTER!F7:F1016,MASTER!B7:B1016,"KELURAHAN MLATI KIDUL",MASTER!G7:G1016,"TENDER CEPAT")</f>
        <v>0</v>
      </c>
      <c r="G23" s="35">
        <f>COUNTIFS(MASTER!B7:B1016,"KELURAHAN MLATI KIDUL",MASTER!G7:G1016,"SELEKSI")</f>
        <v>0</v>
      </c>
      <c r="H23" s="40">
        <f>SUMIFS(MASTER!F7:F1016,MASTER!B7:B1016,"KELURAHAN MLATI KIDUL",MASTER!G7:G1016,"SELEKSI")</f>
        <v>0</v>
      </c>
      <c r="I23" s="35">
        <f>COUNTIFS(MASTER!B8:B1017,"KELURAHAN MLATI KIDUL",MASTER!G8:G1017,"TENDER",MASTER!N8:N1017,"KONTRAK")</f>
        <v>0</v>
      </c>
      <c r="J23" s="39">
        <f>SUMIFS(MASTER!L7:L1016,MASTER!B7:B1016,"KELURAHAN MLATI KIDUL",MASTER!G7:G1016,"TENDER", MASTER!N7:N1016,"KONTRAK")</f>
        <v>0</v>
      </c>
      <c r="K23" s="35">
        <f>COUNTIFS(MASTER!B8:B1017,"KELURAHAN MLATI KIDUL",MASTER!G8:G1017,"TENDER CEPAT",MASTER!N8:N1017,"KONTRAK")</f>
        <v>0</v>
      </c>
      <c r="L23" s="38">
        <f>SUMIFS(MASTER!L7:L1016,MASTER!B7:B1016,"KELURAHAN MLATI KIDUL",MASTER!G7:G1016,"TENDER CEPAT", MASTER!N7:N1016,"KONTRAK")</f>
        <v>0</v>
      </c>
      <c r="M23" s="35">
        <f>COUNTIFS(MASTER!B8:B1017,"KELURAHAN MLATI KIDUL",MASTER!G8:G1017,"SELEKSI",MASTER!N8:N1017,"KONTRAK")</f>
        <v>0</v>
      </c>
      <c r="N23" s="38">
        <f>SUMIFS(MASTER!L7:L1016,MASTER!B7:B1016,"KELURAHAN MLATI KIDUL",MASTER!G7:G1016,"SELEKSI", MASTER!N7:N1016,"KONTRAK")</f>
        <v>0</v>
      </c>
      <c r="O23" s="90">
        <f t="shared" si="0"/>
        <v>1</v>
      </c>
      <c r="P23" s="48">
        <f t="shared" si="1"/>
        <v>372930000</v>
      </c>
      <c r="Q23" s="40">
        <f t="shared" si="2"/>
        <v>0</v>
      </c>
      <c r="R23" s="38">
        <f t="shared" si="3"/>
        <v>0</v>
      </c>
      <c r="S23" s="91">
        <f t="shared" si="4"/>
        <v>1</v>
      </c>
      <c r="T23" s="38">
        <f t="shared" si="5"/>
        <v>372930000</v>
      </c>
    </row>
    <row r="24" spans="1:20" s="72" customFormat="1" ht="19.5" customHeight="1" x14ac:dyDescent="0.25">
      <c r="A24" s="71">
        <v>16</v>
      </c>
      <c r="B24" s="88" t="s">
        <v>226</v>
      </c>
      <c r="C24" s="71">
        <v>1</v>
      </c>
      <c r="D24" s="40">
        <v>254288000</v>
      </c>
      <c r="E24" s="71">
        <f>COUNTIFS(MASTER!B8:B1017,"KELURAHAN MLATI KIDUL",MASTER!G8:G1017,"TENDER CEPAT")</f>
        <v>0</v>
      </c>
      <c r="F24" s="40">
        <f>SUMIFS(MASTER!F8:F1017,MASTER!B8:B1017,"KELURAHAN MLATI KIDUL",MASTER!G8:G1017,"TENDER CEPAT")</f>
        <v>0</v>
      </c>
      <c r="G24" s="71">
        <f>COUNTIFS(MASTER!B8:B1017,"KELURAHAN MLATI KIDUL",MASTER!G8:G1017,"SELEKSI")</f>
        <v>0</v>
      </c>
      <c r="H24" s="40">
        <f>SUMIFS(MASTER!F8:F1017,MASTER!B8:B1017,"KELURAHAN MLATI KIDUL",MASTER!G8:G1017,"SELEKSI")</f>
        <v>0</v>
      </c>
      <c r="I24" s="71">
        <f>COUNTIFS(MASTER!B9:B1018,"KELURAHAN MLATI KIDUL",MASTER!G9:G1018,"TENDER",MASTER!N9:N1018,"KONTRAK")</f>
        <v>0</v>
      </c>
      <c r="J24" s="39">
        <f>SUMIFS(MASTER!L8:L1017,MASTER!B8:B1017,"KELURAHAN MLATI KIDUL",MASTER!G8:G1017,"TENDER", MASTER!N8:N1017,"KONTRAK")</f>
        <v>0</v>
      </c>
      <c r="K24" s="71">
        <f>COUNTIFS(MASTER!B9:B1018,"KELURAHAN MLATI KIDUL",MASTER!G9:G1018,"TENDER CEPAT",MASTER!N9:N1018,"KONTRAK")</f>
        <v>0</v>
      </c>
      <c r="L24" s="38">
        <f>SUMIFS(MASTER!L8:L1017,MASTER!B8:B1017,"KELURAHAN MLATI KIDUL",MASTER!G8:G1017,"TENDER CEPAT", MASTER!N8:N1017,"KONTRAK")</f>
        <v>0</v>
      </c>
      <c r="M24" s="71">
        <v>0</v>
      </c>
      <c r="N24" s="38">
        <f>SUMIFS(MASTER!L8:L1017,MASTER!B8:B1017,"KELURAHAN MLATI KIDUL",MASTER!G8:G1017,"SELEKSI", MASTER!N8:N1017,"KONTRAK")</f>
        <v>0</v>
      </c>
      <c r="O24" s="89">
        <v>1</v>
      </c>
      <c r="P24" s="90">
        <v>254288000</v>
      </c>
      <c r="Q24" s="40">
        <f t="shared" ref="Q24:Q25" si="6">I24+K24+M24</f>
        <v>0</v>
      </c>
      <c r="R24" s="38">
        <f t="shared" ref="R24:R25" si="7">J24+L24+N24</f>
        <v>0</v>
      </c>
      <c r="S24" s="92">
        <v>1</v>
      </c>
      <c r="T24" s="90">
        <v>254288000</v>
      </c>
    </row>
    <row r="25" spans="1:20" s="72" customFormat="1" ht="19.5" customHeight="1" x14ac:dyDescent="0.25">
      <c r="A25" s="71">
        <v>17</v>
      </c>
      <c r="B25" s="88" t="s">
        <v>227</v>
      </c>
      <c r="C25" s="71">
        <v>2</v>
      </c>
      <c r="D25" s="40">
        <v>509242000</v>
      </c>
      <c r="E25" s="71">
        <f>COUNTIFS(MASTER!B9:B1018,"KELURAHAN MLATI KIDUL",MASTER!G9:G1018,"TENDER CEPAT")</f>
        <v>0</v>
      </c>
      <c r="F25" s="40">
        <f>SUMIFS(MASTER!F9:F1018,MASTER!B9:B1018,"KELURAHAN MLATI KIDUL",MASTER!G9:G1018,"TENDER CEPAT")</f>
        <v>0</v>
      </c>
      <c r="G25" s="71">
        <f>COUNTIFS(MASTER!B9:B1018,"KELURAHAN MLATI KIDUL",MASTER!G9:G1018,"SELEKSI")</f>
        <v>0</v>
      </c>
      <c r="H25" s="40">
        <f>SUMIFS(MASTER!F9:F1018,MASTER!B9:B1018,"KELURAHAN MLATI KIDUL",MASTER!G9:G1018,"SELEKSI")</f>
        <v>0</v>
      </c>
      <c r="I25" s="71">
        <f>COUNTIFS(MASTER!B10:B1019,"KELURAHAN MLATI KIDUL",MASTER!G10:G1019,"TENDER",MASTER!N10:N1019,"KONTRAK")</f>
        <v>0</v>
      </c>
      <c r="J25" s="39">
        <f>SUMIFS(MASTER!L9:L1018,MASTER!B9:B1018,"KELURAHAN MLATI KIDUL",MASTER!G9:G1018,"TENDER", MASTER!N9:N1018,"KONTRAK")</f>
        <v>0</v>
      </c>
      <c r="K25" s="71">
        <f>COUNTIFS(MASTER!B10:B1019,"KELURAHAN MLATI KIDUL",MASTER!G10:G1019,"TENDER CEPAT",MASTER!N10:N1019,"KONTRAK")</f>
        <v>0</v>
      </c>
      <c r="L25" s="38">
        <f>SUMIFS(MASTER!L9:L1018,MASTER!B9:B1018,"KELURAHAN MLATI KIDUL",MASTER!G9:G1018,"TENDER CEPAT", MASTER!N9:N1018,"KONTRAK")</f>
        <v>0</v>
      </c>
      <c r="M25" s="71">
        <v>0</v>
      </c>
      <c r="N25" s="38">
        <f>SUMIFS(MASTER!L9:L1018,MASTER!B9:B1018,"KELURAHAN MLATI KIDUL",MASTER!G9:G1018,"SELEKSI", MASTER!N9:N1018,"KONTRAK")</f>
        <v>0</v>
      </c>
      <c r="O25" s="89">
        <v>2</v>
      </c>
      <c r="P25" s="90">
        <v>509242000</v>
      </c>
      <c r="Q25" s="40">
        <f t="shared" si="6"/>
        <v>0</v>
      </c>
      <c r="R25" s="38">
        <f t="shared" si="7"/>
        <v>0</v>
      </c>
      <c r="S25" s="92">
        <v>2</v>
      </c>
      <c r="T25" s="90">
        <v>509242000</v>
      </c>
    </row>
    <row r="26" spans="1:20" ht="13.5" x14ac:dyDescent="0.25">
      <c r="A26" s="71">
        <v>18</v>
      </c>
      <c r="B26" s="37" t="s">
        <v>154</v>
      </c>
      <c r="C26" s="35">
        <f>COUNTIFS(MASTER!B7:B1016,"RUMAH SAKIT UMUM DAERAH",MASTER!G7:G1016,"TENDER")</f>
        <v>3</v>
      </c>
      <c r="D26" s="40">
        <f>SUMIFS(MASTER!F7:F1016,MASTER!B7:B1016,"RUMAH SAKIT UMUM DAERAH",MASTER!G7:G1016,"TENDER")</f>
        <v>34310789000</v>
      </c>
      <c r="E26" s="35">
        <f>COUNTIFS(MASTER!B7:B1016,"RUMAH SAKIT UMUM DAERAH",MASTER!G7:G1016,"TENDER CEPAT")</f>
        <v>1</v>
      </c>
      <c r="F26" s="40">
        <f>SUMIFS(MASTER!F7:F1016,MASTER!B7:B1016,"RUMAH SAKIT UMUM DAERAH",MASTER!G7:G1016,"TENDER CEPAT")</f>
        <v>950000000</v>
      </c>
      <c r="G26" s="35">
        <f>COUNTIFS(MASTER!B7:B1016,"RUMAH SAKIT UMUM DAERAH",MASTER!G7:G1016,"SELEKSI")</f>
        <v>1</v>
      </c>
      <c r="H26" s="40">
        <f>SUMIFS(MASTER!F7:F1016,MASTER!B7:B1016,"RUMAH SAKIT UMUM DAERAH",MASTER!G7:G1016,"SELEKSI")</f>
        <v>495000000</v>
      </c>
      <c r="I26" s="35">
        <f>COUNTIFS(MASTER!B7:B1016,"RUMAH SAKIT UMUM DAERAH",MASTER!G7:G1016,"TENDER",MASTER!N7:N1016,"KONTRAK")</f>
        <v>1</v>
      </c>
      <c r="J26" s="39">
        <f>SUMIFS(MASTER!L7:L1016,MASTER!B7:B1016,"RUMAH SAKIT UMUM DAERAH",MASTER!G7:G1016,"TENDER", MASTER!N7:N1016,"KONTRAK")</f>
        <v>3168040453.6999998</v>
      </c>
      <c r="K26" s="35">
        <f>COUNTIFS(MASTER!B8:B1017,"RUMAH SAKIT UMUM DAERAH",MASTER!G8:G1017,"TENDER CEPAT",MASTER!N8:N1017,"KONTRAK")</f>
        <v>1</v>
      </c>
      <c r="L26" s="38">
        <f>SUMIFS(MASTER!L7:L1016,MASTER!B7:B1016,"RUMAH SAKIT UMUM DAERAH",MASTER!G7:G1016,"TENDER CEPAT", MASTER!N7:N1016,"KONTRAK")</f>
        <v>946148769.5</v>
      </c>
      <c r="M26" s="35">
        <f>COUNTIFS(MASTER!B8:B1017,"RUMAH SAKIT UMUM DAERAH",MASTER!G8:G1017,"SELEKSI",MASTER!N8:N1017,"KONTRAK")</f>
        <v>0</v>
      </c>
      <c r="N26" s="38">
        <f>SUMIFS(MASTER!L7:L1016,MASTER!B7:B1016,"RUMAH SAKIT UMUM DAERAH",MASTER!G7:G1016,"SELEKSI", MASTER!N7:N1016,"KONTRAK")</f>
        <v>0</v>
      </c>
      <c r="O26" s="90">
        <f t="shared" si="0"/>
        <v>5</v>
      </c>
      <c r="P26" s="48">
        <f t="shared" si="1"/>
        <v>35755789000</v>
      </c>
      <c r="Q26" s="40">
        <f t="shared" si="2"/>
        <v>2</v>
      </c>
      <c r="R26" s="38">
        <f t="shared" si="3"/>
        <v>4114189223.1999998</v>
      </c>
      <c r="S26" s="91">
        <f t="shared" si="4"/>
        <v>3</v>
      </c>
      <c r="T26" s="38">
        <f t="shared" si="5"/>
        <v>31641599776.799999</v>
      </c>
    </row>
    <row r="27" spans="1:20" ht="20.25" customHeight="1" x14ac:dyDescent="0.25">
      <c r="A27" s="71">
        <v>19</v>
      </c>
      <c r="B27" s="37" t="s">
        <v>156</v>
      </c>
      <c r="C27" s="35">
        <f>COUNTIFS(MASTER!B7:B1016,"SEKRETARIAT DPRD",MASTER!G7:G1016,"TENDER")</f>
        <v>2</v>
      </c>
      <c r="D27" s="40">
        <f>SUMIFS(MASTER!F7:F1016,MASTER!B7:B1016,"SEKRETARIAT DPRD",MASTER!G7:G1016,"TENDER")</f>
        <v>2558810000</v>
      </c>
      <c r="E27" s="35">
        <f>COUNTIFS(MASTER!B7:B1016,"SEKRETARIAT DPRD",MASTER!G7:G1016,"TENDER CEPAT")</f>
        <v>0</v>
      </c>
      <c r="F27" s="40">
        <f>SUMIFS(MASTER!F7:F1016,MASTER!B7:B1016,"SEKRETARIAT DPRD",MASTER!G7:G1016,"TENDER CEPAT")</f>
        <v>0</v>
      </c>
      <c r="G27" s="35">
        <f>COUNTIFS(MASTER!B7:B1016,"SEKRETARIAT DPRD",MASTER!G7:G1016,"SELEKSI")</f>
        <v>0</v>
      </c>
      <c r="H27" s="40">
        <f>SUMIFS(MASTER!F7:F1016,MASTER!B7:B1016,"SEKRETARIAT DPRD",MASTER!G7:G1016,"SELEKSI")</f>
        <v>0</v>
      </c>
      <c r="I27" s="35">
        <f>COUNTIFS(MASTER!B7:B1016,"SEKRETARIAT DPRD",MASTER!G7:G1016,"TENDER",MASTER!N7:N1016,"KONTRAK")</f>
        <v>0</v>
      </c>
      <c r="J27" s="39">
        <f>SUMIFS(MASTER!L7:L1016,MASTER!B7:B1016,"SEKRETARIAT DPRD",MASTER!G7:G1016,"TENDER", MASTER!N7:N1016,"KONTRAK")</f>
        <v>0</v>
      </c>
      <c r="K27" s="35">
        <f>COUNTIFS(MASTER!B7:B1016,"SEKRETARIAT DPRD",MASTER!G7:G1016,"TENDER CEPAT",MASTER!N7:N1016,"KONTRAK")</f>
        <v>0</v>
      </c>
      <c r="L27" s="38">
        <f>SUMIFS(MASTER!L7:L1016,MASTER!B7:B1016,"SEKRETARIAT DPRD",MASTER!G7:G1016,"TENDER CEPAT", MASTER!N7:N1016,"KONTRAK")</f>
        <v>0</v>
      </c>
      <c r="M27" s="35">
        <f>COUNTIFS(MASTER!B7:B1016,"SEKRETARIAT DPRD",MASTER!G7:G1016,"SELEKSI",MASTER!N7:N1016,"KONTRAK")</f>
        <v>0</v>
      </c>
      <c r="N27" s="38">
        <f>SUMIFS(MASTER!L7:L1016,MASTER!B7:B1016,"SEKRETARIAT DPRD",MASTER!G7:G1016,"SELEKSI", MASTER!N7:N1016,"KONTRAK")</f>
        <v>0</v>
      </c>
      <c r="O27" s="90">
        <f t="shared" si="0"/>
        <v>2</v>
      </c>
      <c r="P27" s="48">
        <f t="shared" si="1"/>
        <v>2558810000</v>
      </c>
      <c r="Q27" s="40">
        <f t="shared" si="2"/>
        <v>0</v>
      </c>
      <c r="R27" s="38">
        <f t="shared" si="3"/>
        <v>0</v>
      </c>
      <c r="S27" s="91">
        <f t="shared" si="4"/>
        <v>2</v>
      </c>
      <c r="T27" s="38">
        <f t="shared" si="5"/>
        <v>2558810000</v>
      </c>
    </row>
    <row r="28" spans="1:20" ht="13.5" x14ac:dyDescent="0.25">
      <c r="A28" s="71">
        <v>20</v>
      </c>
      <c r="B28" s="37" t="s">
        <v>158</v>
      </c>
      <c r="C28" s="35">
        <f>COUNTIFS(MASTER!B7:B1016,"UPTD LABORATORIUM KESEHATAN",MASTER!G7:G1016,"TENDER")</f>
        <v>0</v>
      </c>
      <c r="D28" s="40">
        <f>SUMIFS(MASTER!F7:F1016,MASTER!B7:B1016,"UPTD LABORATORIUM KESEHATAN",MASTER!G7:G1016,"TENDER")</f>
        <v>0</v>
      </c>
      <c r="E28" s="35">
        <f>COUNTIFS(MASTER!B7:B1016,"UPTD LABORATORIUM KESEHATAN",MASTER!G7:G1016,"TENDER CEPAT")</f>
        <v>2</v>
      </c>
      <c r="F28" s="40">
        <f>SUMIFS(MASTER!F7:F1016,MASTER!B7:B1016,"UPTD LABORATORIUM KESEHATAN",MASTER!G7:G1016,"TENDER CEPAT")</f>
        <v>874803000</v>
      </c>
      <c r="G28" s="35">
        <f>COUNTIFS(MASTER!B7:B1016,"UPTD LABORATORIUM KESEHATAN",MASTER!G7:G1016,"SELEKSI")</f>
        <v>0</v>
      </c>
      <c r="H28" s="40">
        <f>SUMIFS(MASTER!F7:F1016,MASTER!B7:B1016,"UPTD LABORATORIUM KESEHATAN",MASTER!G7:G1016,"SELEKSI")</f>
        <v>0</v>
      </c>
      <c r="I28" s="35">
        <f>COUNTIFS(MASTER!B7:B1016,"UPTD LABORATORIUM KESEHATAN",MASTER!G7:G1016,"TENDER",MASTER!N7:N1016,"KONTRAK")</f>
        <v>0</v>
      </c>
      <c r="J28" s="39">
        <f>SUMIFS(MASTER!L7:L1016,MASTER!B7:B1016,"UPTD LABORATORIUM KESEHATAN",MASTER!G7:G1016,"TENDER", MASTER!N7:N1016,"KONTRAK")</f>
        <v>0</v>
      </c>
      <c r="K28" s="35">
        <f>COUNTIFS(MASTER!B7:B1016,"UPTD LABORATORIUM KESEHATAN",MASTER!G7:G1016,"TENDER CEPAT",MASTER!N7:N1016,"KONTRAK")</f>
        <v>0</v>
      </c>
      <c r="L28" s="38">
        <f>SUMIFS(MASTER!L7:L1016,MASTER!B7:B1016,"UPTD LABORATORIUM KESEHATAN",MASTER!G7:G1016,"TENDER CEPAT", MASTER!N7:N1016,"KONTRAK")</f>
        <v>0</v>
      </c>
      <c r="M28" s="35">
        <f>COUNTIFS(MASTER!B7:B1016,"UPTD LABORATORIUM KESEHATAN",MASTER!G7:G1016,"SELEKSI",MASTER!N7:N1016,"KONTRAK")</f>
        <v>0</v>
      </c>
      <c r="N28" s="38">
        <f>SUMIFS(MASTER!L7:L1016,MASTER!B7:B1016,"UPTD LABORATORIUM KESEHATAN",MASTER!G7:G1016,"SELEKSI", MASTER!N7:N1016,"KONTRAK")</f>
        <v>0</v>
      </c>
      <c r="O28" s="90">
        <f t="shared" si="0"/>
        <v>2</v>
      </c>
      <c r="P28" s="48">
        <f t="shared" si="1"/>
        <v>874803000</v>
      </c>
      <c r="Q28" s="40">
        <f t="shared" si="2"/>
        <v>0</v>
      </c>
      <c r="R28" s="38">
        <f t="shared" si="3"/>
        <v>0</v>
      </c>
      <c r="S28" s="91">
        <f t="shared" si="4"/>
        <v>2</v>
      </c>
      <c r="T28" s="38">
        <f t="shared" si="5"/>
        <v>874803000</v>
      </c>
    </row>
    <row r="29" spans="1:20" s="96" customFormat="1" ht="16.5" x14ac:dyDescent="0.25">
      <c r="A29" s="122">
        <v>21</v>
      </c>
      <c r="B29" s="121" t="s">
        <v>232</v>
      </c>
      <c r="C29" s="95">
        <v>1</v>
      </c>
      <c r="D29" s="120">
        <v>465500000</v>
      </c>
      <c r="E29" s="95">
        <v>0</v>
      </c>
      <c r="F29" s="40">
        <f>SUMIFS(MASTER!F9:F1018,MASTER!B9:B1018,"SEKRETARIAT DPRD",MASTER!G9:G1018,"TENDER CEPAT")</f>
        <v>0</v>
      </c>
      <c r="G29" s="95">
        <f>COUNTIFS(MASTER!B8:B1017,"UPTD LABORATORIUM KESEHATAN",MASTER!G8:G1017,"SELEKSI")</f>
        <v>0</v>
      </c>
      <c r="H29" s="40">
        <f>SUMIFS(MASTER!F8:F1017,MASTER!B8:B1017,"UPTD LABORATORIUM KESEHATAN",MASTER!G8:G1017,"SELEKSI")</f>
        <v>0</v>
      </c>
      <c r="I29" s="95">
        <f>COUNTIFS(MASTER!B8:B1017,"UPTD LABORATORIUM KESEHATAN",MASTER!G8:G1017,"TENDER",MASTER!N8:N1017,"KONTRAK")</f>
        <v>0</v>
      </c>
      <c r="J29" s="39">
        <f>SUMIFS(MASTER!L8:L1017,MASTER!B8:B1017,"UPTD LABORATORIUM KESEHATAN",MASTER!G8:G1017,"TENDER", MASTER!N8:N1017,"KONTRAK")</f>
        <v>0</v>
      </c>
      <c r="K29" s="95">
        <f>COUNTIFS(MASTER!B8:B1017,"UPTD LABORATORIUM KESEHATAN",MASTER!G8:G1017,"TENDER CEPAT",MASTER!N8:N1017,"KONTRAK")</f>
        <v>0</v>
      </c>
      <c r="L29" s="38">
        <f>SUMIFS(MASTER!L8:L1017,MASTER!B8:B1017,"UPTD LABORATORIUM KESEHATAN",MASTER!G8:G1017,"TENDER CEPAT", MASTER!N8:N1017,"KONTRAK")</f>
        <v>0</v>
      </c>
      <c r="M29" s="95">
        <f>COUNTIFS(MASTER!B8:B1017,"UPTD LABORATORIUM KESEHATAN",MASTER!G8:G1017,"SELEKSI",MASTER!N8:N1017,"KONTRAK")</f>
        <v>0</v>
      </c>
      <c r="N29" s="38"/>
      <c r="O29" s="90">
        <f t="shared" si="0"/>
        <v>1</v>
      </c>
      <c r="P29" s="48">
        <f t="shared" si="1"/>
        <v>465500000</v>
      </c>
      <c r="Q29" s="40">
        <f t="shared" si="2"/>
        <v>0</v>
      </c>
      <c r="R29" s="38">
        <f t="shared" si="3"/>
        <v>0</v>
      </c>
      <c r="S29" s="91">
        <f t="shared" si="4"/>
        <v>1</v>
      </c>
      <c r="T29" s="38">
        <f t="shared" si="5"/>
        <v>465500000</v>
      </c>
    </row>
    <row r="30" spans="1:20" ht="21.75" customHeight="1" x14ac:dyDescent="0.25">
      <c r="A30" s="41"/>
      <c r="B30" s="42" t="s">
        <v>210</v>
      </c>
      <c r="C30" s="41">
        <f>SUM(C9:C29)</f>
        <v>159</v>
      </c>
      <c r="D30" s="43">
        <f t="shared" ref="D30:H30" si="8">SUM(D9:D28)</f>
        <v>216037957000</v>
      </c>
      <c r="E30" s="41">
        <f t="shared" si="8"/>
        <v>9</v>
      </c>
      <c r="F30" s="43">
        <f t="shared" si="8"/>
        <v>4817999000</v>
      </c>
      <c r="G30" s="41">
        <f t="shared" si="8"/>
        <v>7</v>
      </c>
      <c r="H30" s="43">
        <f t="shared" si="8"/>
        <v>1655000000</v>
      </c>
      <c r="I30" s="43">
        <f t="shared" ref="I30" si="9">SUM(I9:I28)</f>
        <v>1</v>
      </c>
      <c r="J30" s="47">
        <f t="shared" ref="J30" si="10">SUM(J9:J28)</f>
        <v>3168040453.6999998</v>
      </c>
      <c r="K30" s="43">
        <f t="shared" ref="K30" si="11">SUM(K9:K28)</f>
        <v>7</v>
      </c>
      <c r="L30" s="46">
        <f t="shared" ref="L30" si="12">SUM(L9:L28)</f>
        <v>3467838695.54</v>
      </c>
      <c r="M30" s="43">
        <f t="shared" ref="M30" si="13">SUM(M9:M28)</f>
        <v>0</v>
      </c>
      <c r="N30" s="46">
        <f t="shared" ref="N30:Q30" si="14">SUM(N9:N28)</f>
        <v>0</v>
      </c>
      <c r="O30" s="93">
        <f>SUM(O9:O29)</f>
        <v>175</v>
      </c>
      <c r="P30" s="43">
        <f t="shared" si="14"/>
        <v>222510956000</v>
      </c>
      <c r="Q30" s="43">
        <f t="shared" si="14"/>
        <v>8</v>
      </c>
      <c r="R30" s="46">
        <f>SUM(R9:R28)</f>
        <v>6635879149.2399998</v>
      </c>
      <c r="S30" s="43">
        <f>(C30+E30+G30)-(I30+K30+M30)</f>
        <v>167</v>
      </c>
      <c r="T30" s="46">
        <f t="shared" ref="T30" si="15">(D30+F30+H30)-(J30+L30+N30)</f>
        <v>215875076850.76001</v>
      </c>
    </row>
    <row r="32" spans="1:20" ht="13.5" x14ac:dyDescent="0.25">
      <c r="S32" s="123"/>
    </row>
  </sheetData>
  <mergeCells count="22">
    <mergeCell ref="O6:O7"/>
    <mergeCell ref="P6:P7"/>
    <mergeCell ref="O5:P5"/>
    <mergeCell ref="Q6:Q7"/>
    <mergeCell ref="R6:R7"/>
    <mergeCell ref="Q5:R5"/>
    <mergeCell ref="C5:H5"/>
    <mergeCell ref="I5:N5"/>
    <mergeCell ref="B5:B7"/>
    <mergeCell ref="A5:A7"/>
    <mergeCell ref="A1:T1"/>
    <mergeCell ref="A2:T2"/>
    <mergeCell ref="A3:T3"/>
    <mergeCell ref="C6:D6"/>
    <mergeCell ref="E6:F6"/>
    <mergeCell ref="G6:H6"/>
    <mergeCell ref="I6:J6"/>
    <mergeCell ref="K6:L6"/>
    <mergeCell ref="M6:N6"/>
    <mergeCell ref="S6:S7"/>
    <mergeCell ref="T6:T7"/>
    <mergeCell ref="S5:T5"/>
  </mergeCells>
  <printOptions horizontalCentered="1"/>
  <pageMargins left="0.9055118110236221" right="0.9055118110236221" top="0.34" bottom="0.24" header="0.31496062992125984" footer="0.31496062992125984"/>
  <pageSetup paperSize="5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REKAP</vt:lpstr>
      <vt:lpstr>MASTER</vt:lpstr>
      <vt:lpstr>MASTER OPD</vt:lpstr>
      <vt:lpstr>MASTER!Print_Area</vt:lpstr>
      <vt:lpstr>'MASTER OPD'!Print_Area</vt:lpstr>
      <vt:lpstr>REKAP!Print_Area</vt:lpstr>
      <vt:lpstr>MASTER!Print_Titles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ULP LENOVO</dc:creator>
  <cp:lastModifiedBy>Asus</cp:lastModifiedBy>
  <cp:lastPrinted>2020-03-30T04:47:47Z</cp:lastPrinted>
  <dcterms:created xsi:type="dcterms:W3CDTF">2020-02-11T07:29:25Z</dcterms:created>
  <dcterms:modified xsi:type="dcterms:W3CDTF">2020-04-06T04:01:50Z</dcterms:modified>
</cp:coreProperties>
</file>